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kg budget draft" sheetId="1" r:id="rId1"/>
    <sheet name="Electricity Supply" sheetId="2" r:id="rId2"/>
    <sheet name="Water Sanitation" sheetId="3" r:id="rId3"/>
    <sheet name="heating system" sheetId="4" r:id="rId4"/>
    <sheet name="Fencing" sheetId="5" r:id="rId5"/>
    <sheet name="Sheet1" sheetId="6" r:id="rId6"/>
    <sheet name="specifikation of rooms" sheetId="7" r:id="rId7"/>
  </sheets>
  <externalReferences>
    <externalReference r:id="rId10"/>
  </externalReferences>
  <definedNames>
    <definedName name="_xlnm._FilterDatabase" localSheetId="2" hidden="1">'Water Sanitation'!$A$1:$F$63</definedName>
    <definedName name="_xlnm.Print_Area" localSheetId="1">'Electricity Supply'!$A$1:$H$42</definedName>
    <definedName name="_xlnm.Print_Area" localSheetId="2">'Water Sanitation'!$A$1:$H$70</definedName>
  </definedNames>
  <calcPr fullCalcOnLoad="1"/>
</workbook>
</file>

<file path=xl/sharedStrings.xml><?xml version="1.0" encoding="utf-8"?>
<sst xmlns="http://schemas.openxmlformats.org/spreadsheetml/2006/main" count="909" uniqueCount="494">
  <si>
    <t>TOTAL 1</t>
  </si>
  <si>
    <t>TOTAL 8</t>
  </si>
  <si>
    <t>TOTAL 7</t>
  </si>
  <si>
    <t>TOTAL 6</t>
  </si>
  <si>
    <t>TOTAL 5</t>
  </si>
  <si>
    <t>TOTAL 4</t>
  </si>
  <si>
    <t>TOTAL 3</t>
  </si>
  <si>
    <t>TOTAL 2</t>
  </si>
  <si>
    <t>TOTAL 9</t>
  </si>
  <si>
    <t>Complete</t>
  </si>
  <si>
    <t>TOTAL 11</t>
  </si>
  <si>
    <t>TOTAL 12</t>
  </si>
  <si>
    <t>DANISH REFUGEE COUNCIL</t>
  </si>
  <si>
    <t>m'</t>
  </si>
  <si>
    <t>x</t>
  </si>
  <si>
    <t>Notice : The price have to be calculated for horizontal projection of the roof.</t>
  </si>
  <si>
    <t>TOTAL    1</t>
  </si>
  <si>
    <t>TOTAL    2</t>
  </si>
  <si>
    <t>TOTAL    3</t>
  </si>
  <si>
    <t>TOTAL    4</t>
  </si>
  <si>
    <t>TOTAL    5</t>
  </si>
  <si>
    <t>TOTAL    6</t>
  </si>
  <si>
    <t>TOTAL    7</t>
  </si>
  <si>
    <t>TOTAL    8</t>
  </si>
  <si>
    <t>TOTAL    9</t>
  </si>
  <si>
    <t>TOTAL  10</t>
  </si>
  <si>
    <t>TOTAL  11</t>
  </si>
  <si>
    <t>TOTAL  12</t>
  </si>
  <si>
    <t>Suplly and mounting of the needed material for electrical instalation.</t>
  </si>
  <si>
    <t>Remark: Formwork timber provided by contractor / All concrete works include formwork</t>
  </si>
  <si>
    <t>Employer :</t>
  </si>
  <si>
    <t>Contractor :</t>
  </si>
  <si>
    <t xml:space="preserve">Remark : Calculations for material need to be done from contractor , according to the drawings </t>
  </si>
  <si>
    <t xml:space="preserve">quantity </t>
  </si>
  <si>
    <t>unit</t>
  </si>
  <si>
    <t>CONCRETE WORKS/ ბეტონის სამუშაოები</t>
  </si>
  <si>
    <t>შენიშვნა: კონტრაქტორის მოერ მოწოდებული ყალიბის ფიცრები/ 
ყველა ბეტონის სამუშაოები შეიცავს ყალიბის მოწყობას</t>
  </si>
  <si>
    <t xml:space="preserve">REINFORCEMENT STEEL-ფოლადის არმატურა </t>
  </si>
  <si>
    <t>შენიშვნა; ფასის დაანგარიშება უნდა მოხდეს სახურავის ჰორიზონტალური პროექციის მიხედვით</t>
  </si>
  <si>
    <t>INSULATION WORKS -საიზოლაციო სამუშაოები</t>
  </si>
  <si>
    <t>JOINERY -სადურგლო სამუშაოები</t>
  </si>
  <si>
    <t>ELECTRICAL WORKS -ელექტრო გაყვანილობის სამუშაოები</t>
  </si>
  <si>
    <t>ელექტრო გაყვანილობისთვის საჭირო მასალის მოწოდება და მისი მოწყობა</t>
  </si>
  <si>
    <t>WATER &amp; SEWAGE WORKS -წყლაგაყვანილობის და კანალიზაციის სამუშაოები</t>
  </si>
  <si>
    <t xml:space="preserve">DESCRIPTION OF WORK </t>
  </si>
  <si>
    <r>
      <t xml:space="preserve">labour rate
</t>
    </r>
  </si>
  <si>
    <t xml:space="preserve">cost 
</t>
  </si>
  <si>
    <t>kompleqti</t>
  </si>
  <si>
    <r>
      <rPr>
        <sz val="10"/>
        <rFont val="AcadNusx"/>
        <family val="0"/>
      </rPr>
      <t>m</t>
    </r>
    <r>
      <rPr>
        <vertAlign val="superscript"/>
        <sz val="10"/>
        <rFont val="Arial"/>
        <family val="2"/>
      </rPr>
      <t>3</t>
    </r>
  </si>
  <si>
    <r>
      <t>m</t>
    </r>
    <r>
      <rPr>
        <vertAlign val="superscript"/>
        <sz val="10"/>
        <rFont val="Arial"/>
        <family val="2"/>
      </rPr>
      <t>3</t>
    </r>
  </si>
  <si>
    <t>ფოლადის არმატურის მოწოდება, მოღუნვა და მოწყობა</t>
  </si>
  <si>
    <t>Electrical works - according to the drawings, and connection in electrical box.</t>
  </si>
  <si>
    <t>pcs</t>
  </si>
  <si>
    <r>
      <rPr>
        <sz val="10"/>
        <rFont val="AcadNusx"/>
        <family val="0"/>
      </rPr>
      <t>m</t>
    </r>
    <r>
      <rPr>
        <vertAlign val="superscript"/>
        <sz val="10"/>
        <rFont val="Arial"/>
        <family val="2"/>
      </rPr>
      <t>2</t>
    </r>
  </si>
  <si>
    <t>piece</t>
  </si>
  <si>
    <t xml:space="preserve">  BILL OF QUANTITIES </t>
  </si>
  <si>
    <t>მასალის მოწოდება და ჭერის შეღებვა ემულსიის საღებავით ორ ფენად</t>
  </si>
  <si>
    <t>მასალის მოწოდება და კედლების შეღებვა ემულსიის საღებავით ორ ფენად</t>
  </si>
  <si>
    <t>მასალის მოწოდება და იატაკზე მეტლახის ფილების მოწყობა I კლასი, (წებოს ჩათვლით)</t>
  </si>
  <si>
    <t xml:space="preserve">ელექტროგაყვანილობის სამუშაოები–ნახაზის მიხედვით </t>
  </si>
  <si>
    <t>შენიშვნა:  მასალის დაანგარიშება უნდა მოხდეს კონტრაქტორის მიერ, ნახაზების საფუძველზე</t>
  </si>
  <si>
    <r>
      <t>m</t>
    </r>
    <r>
      <rPr>
        <vertAlign val="superscript"/>
        <sz val="10"/>
        <rFont val="Arial"/>
        <family val="2"/>
      </rPr>
      <t>2</t>
    </r>
  </si>
  <si>
    <t xml:space="preserve">tn
</t>
  </si>
  <si>
    <t>ც</t>
  </si>
  <si>
    <t>გრძ.მ</t>
  </si>
  <si>
    <t>წყალგაყვანილობის და კანალიზაციის სამუშაოები ნახაზების მიხედვით</t>
  </si>
  <si>
    <t>HEATING-გათბობის სამუშაოები</t>
  </si>
  <si>
    <r>
      <t xml:space="preserve">GRAND TOTAL
</t>
    </r>
    <r>
      <rPr>
        <b/>
        <sz val="14"/>
        <rFont val="AcadNusx"/>
        <family val="0"/>
      </rPr>
      <t xml:space="preserve">სულ </t>
    </r>
  </si>
  <si>
    <t>სიგრძე</t>
  </si>
  <si>
    <t>სიგანე</t>
  </si>
  <si>
    <t>სიმაღლე</t>
  </si>
  <si>
    <t>P</t>
  </si>
  <si>
    <t>S</t>
  </si>
  <si>
    <t>ნალესის მოხსნა</t>
  </si>
  <si>
    <t>კაფელი</t>
  </si>
  <si>
    <t>შელესვა</t>
  </si>
  <si>
    <t>შეღებვა</t>
  </si>
  <si>
    <t>იატაკების მოხსნა</t>
  </si>
  <si>
    <t>მეტლახი</t>
  </si>
  <si>
    <t>ლამინატი</t>
  </si>
  <si>
    <t>სახურავი</t>
  </si>
  <si>
    <t>სარინელი</t>
  </si>
  <si>
    <t>საწვიმარი ღარი</t>
  </si>
  <si>
    <t>ენდაო</t>
  </si>
  <si>
    <t>კეხი</t>
  </si>
  <si>
    <t>საწვმარი მილი</t>
  </si>
  <si>
    <t>საწვმარი ძაბრი</t>
  </si>
  <si>
    <t>მოაჯირი</t>
  </si>
  <si>
    <t>ფანჯრის რაფა</t>
  </si>
  <si>
    <t>ფანჯარა 1,8X1,8მ</t>
  </si>
  <si>
    <t>კარები100-2100</t>
  </si>
  <si>
    <t>კარები100-2400</t>
  </si>
  <si>
    <t>კარები180-2700</t>
  </si>
  <si>
    <t>ლტოლვილთა დანიის საბჭო</t>
  </si>
  <si>
    <t>ხარჯთაღრიცხვა</t>
  </si>
  <si>
    <t>სამუშაოთა ჩამონათვალი</t>
  </si>
  <si>
    <t>განზ.ერთ</t>
  </si>
  <si>
    <t>რაოდენობა</t>
  </si>
  <si>
    <t>ერთ.ფასი</t>
  </si>
  <si>
    <t>ღირებულება</t>
  </si>
  <si>
    <t>მასალის მოწოდება და ჭერის და კედლების მომზადება შესაღებად</t>
  </si>
  <si>
    <t>დაზიანებული ნალესის მოხსნა კედლებიდან და დატვირთვა თვითმცლელზე</t>
  </si>
  <si>
    <t>დაზიანებული ხის იატაკის მოხსნა და დატვირთვა თვითმცლელზე</t>
  </si>
  <si>
    <t>დაზიანებული მეტლახის იატაკის მოხსნა და დატვირთვა თვითმცლელზე</t>
  </si>
  <si>
    <t>სამშენებლო ნაგვის გატანა ობიექტიდან თვითმცლელებით</t>
  </si>
  <si>
    <t>დაზიანებული სახურავის მოხსნა და დატვირთვა თვითმცლელზე</t>
  </si>
  <si>
    <t>მასალის მოწოდება და სახურავის ხის კოჭების მოწოდება და მოწყობა (ძელაკების და სამაგრების ჩათვლით)</t>
  </si>
  <si>
    <t>მასალის მოწოდება და სამერცხლურების მოწყობა</t>
  </si>
  <si>
    <t>ცალი</t>
  </si>
  <si>
    <t>მეტალოპლასტმასის ფანჯრების მოწოდება და მოწყობა 180X180sm (მინაპაკეტით4+12+4)</t>
  </si>
  <si>
    <t>მეტალოპლასტმასის ფანჯრის რაფის მოწოდება და მოწყობა 4X15X190სმ</t>
  </si>
  <si>
    <t>UNFORSEEN EXPENSES-გაუთვალისწინებელი ხარჯები</t>
  </si>
  <si>
    <t>TOTAL  13</t>
  </si>
  <si>
    <t>TOTAL  14</t>
  </si>
  <si>
    <t>Hall</t>
  </si>
  <si>
    <t>Personel room</t>
  </si>
  <si>
    <t>Directore room</t>
  </si>
  <si>
    <t>Store</t>
  </si>
  <si>
    <t>Group room</t>
  </si>
  <si>
    <t>Buffet</t>
  </si>
  <si>
    <t>Toilet</t>
  </si>
  <si>
    <t>Sleeping room</t>
  </si>
  <si>
    <t>Stair</t>
  </si>
  <si>
    <t>Warderobe</t>
  </si>
  <si>
    <t>Stair case</t>
  </si>
  <si>
    <t>Kitchen</t>
  </si>
  <si>
    <t>Food store</t>
  </si>
  <si>
    <t>Medical room</t>
  </si>
  <si>
    <t>Staircase</t>
  </si>
  <si>
    <t>Musical room</t>
  </si>
  <si>
    <r>
      <t>Area  m</t>
    </r>
    <r>
      <rPr>
        <vertAlign val="superscript"/>
        <sz val="10"/>
        <rFont val="Arial"/>
        <family val="2"/>
      </rPr>
      <t>2</t>
    </r>
  </si>
  <si>
    <t>Perimetre  m'</t>
  </si>
  <si>
    <t>Name of rooms</t>
  </si>
  <si>
    <t>Specification of rooms</t>
  </si>
  <si>
    <t>Total</t>
  </si>
  <si>
    <t>Balcony</t>
  </si>
  <si>
    <t>FENCING-შემოღობვა</t>
  </si>
  <si>
    <t>TOTAL  15</t>
  </si>
  <si>
    <t>TOTAL  16</t>
  </si>
  <si>
    <t>TOTAL  17</t>
  </si>
  <si>
    <t>Kitchen elevatore</t>
  </si>
  <si>
    <t>Toilet for personel</t>
  </si>
  <si>
    <t>კედლების დაშლა  და დატვირთვა თვითმცლელზე</t>
  </si>
  <si>
    <t>გარე კიბეების  დაშლა  და დატვირთვა თვითმცლელზე</t>
  </si>
  <si>
    <t>შიდა კიბეების საფეხურების  დაშლა  და დატვირთვა თვითმცლელზე</t>
  </si>
  <si>
    <t>მასალების მოწოდება და არმირებული კედლების მოწყობა სიგანით 12სმ სამშენებლო ბლოკით 12X20X40სმ</t>
  </si>
  <si>
    <t>მასალის მოწოდება და გარე კიბეების მოპირკეთება ბაზალტის ფილით(წებოს ჩათვლით)3,0სმ</t>
  </si>
  <si>
    <t>ლითონის შესასვლელი კარების მოწოდება და მოწყობა 90X270sm(ხელნაკეთი ორმხრივი ლითონის ფურცლით სისქით 1,8მმ საკეტით და ანჯამით</t>
  </si>
  <si>
    <t>ლითონის შესასვლელი კარების მოწოდება და მოწყობა 120X240sm(ხელნაკეთი ორმხრივი ლითონის ფურცლით სისქით 1,8მმ საკეტით და ანჯამით</t>
  </si>
  <si>
    <t>მეტალოპლასტმასის კარების მოწოდება და მოწყობა 80X210სმ</t>
  </si>
  <si>
    <t>მეტალოპლასტმასის კარების მოწოდება და მოწყობა 100X210სმ</t>
  </si>
  <si>
    <t>მეტალოპლასტმასის კარების მოწოდება და მოწყობა 90X210სმ</t>
  </si>
  <si>
    <t>მეტალოპლასტმასის კარების მოწოდება და მოწყობა 90X270სმ</t>
  </si>
  <si>
    <t>მეტალოპლასტმასის კარების მოწოდება და მოწყობა 150X270სმ</t>
  </si>
  <si>
    <t>მასალის მოწოდება და კიბის მოზაიკური საფეხურების მოწყობა15*30*130სმ</t>
  </si>
  <si>
    <t>მასალის მოწოდება და ლითონის მოაჯირის მოწყობა  სიმაღლით 1,0მ</t>
  </si>
  <si>
    <t>მასალის მოწოდება და ხის იატაკების მოხვეწა და გალაქვა სამ ფენად</t>
  </si>
  <si>
    <t>მასალის მოწოდება და ლამინირებული ტიხრების მოწყობა ტუალეტებშიH=1,8მ</t>
  </si>
  <si>
    <r>
      <t xml:space="preserve">DATE / </t>
    </r>
    <r>
      <rPr>
        <sz val="12"/>
        <rFont val="AcadNusx"/>
        <family val="0"/>
      </rPr>
      <t>თარიღი</t>
    </r>
  </si>
  <si>
    <r>
      <t>Badri KANTARIA</t>
    </r>
    <r>
      <rPr>
        <sz val="12"/>
        <rFont val="Arial"/>
        <family val="2"/>
      </rPr>
      <t xml:space="preserve"> /</t>
    </r>
    <r>
      <rPr>
        <sz val="12"/>
        <rFont val="AcadNusx"/>
        <family val="0"/>
      </rPr>
      <t>ბადრი ქანთარია</t>
    </r>
    <r>
      <rPr>
        <sz val="12"/>
        <rFont val="Arial"/>
        <family val="2"/>
      </rPr>
      <t xml:space="preserve">
 DRC chief engineer / </t>
    </r>
    <r>
      <rPr>
        <sz val="12"/>
        <rFont val="AcadNusx"/>
        <family val="0"/>
      </rPr>
      <t>ლდს უფროსი ინჟინერი</t>
    </r>
  </si>
  <si>
    <r>
      <t xml:space="preserve">Daviti Todua/ </t>
    </r>
    <r>
      <rPr>
        <sz val="12"/>
        <rFont val="AcadNusx"/>
        <family val="0"/>
      </rPr>
      <t xml:space="preserve">დავითი თოდუა  
LTD "Qalaqmshenservisi"  შპს ქალაქმშენსერვისი
</t>
    </r>
  </si>
  <si>
    <r>
      <rPr>
        <sz val="12"/>
        <rFont val="Arial"/>
        <family val="2"/>
      </rPr>
      <t>Vincent Dontot/</t>
    </r>
    <r>
      <rPr>
        <sz val="12"/>
        <rFont val="AcadNusx"/>
        <family val="0"/>
      </rPr>
      <t>ვინსენტ დონტოტი</t>
    </r>
    <r>
      <rPr>
        <sz val="12"/>
        <rFont val="Arial"/>
        <family val="2"/>
      </rPr>
      <t xml:space="preserve">
 DRC South Caucasus Regional Director       </t>
    </r>
    <r>
      <rPr>
        <sz val="12"/>
        <rFont val="AcadNusx"/>
        <family val="0"/>
      </rPr>
      <t>ლდს სამხრეთ კავკასიის ოფისის რეგიონალური დირექტორი</t>
    </r>
  </si>
  <si>
    <t>** დიოდური განათების სისტემა მწარმოებელი ქვეყანა თურქეთი</t>
  </si>
  <si>
    <t>** Illumination system – made in Turkey</t>
  </si>
  <si>
    <t xml:space="preserve">* ელსადენები გამოყენაბული  იქნება საქართველოში წარმოებული ს.ს. საქკაბელის მიერ, ორმაგი იზოლაციით. </t>
  </si>
  <si>
    <t>* Electric cables to be used will be produced in Georgia by JSC ‘Saqcabel’ with double insulation.</t>
  </si>
  <si>
    <t>TOTAL/ჯამი</t>
  </si>
  <si>
    <r>
      <t xml:space="preserve">lump sum
</t>
    </r>
  </si>
  <si>
    <t>Other minor non-listed material  
(gypsum, isolation strips, etc.)</t>
  </si>
  <si>
    <t>ანტიბაქტერიული სანათის მოწყობა</t>
  </si>
  <si>
    <t>Installation of antibacterial lamp</t>
  </si>
  <si>
    <t>პლასტმასის გამანაწილებელი ყუთის დამონტაჟება Φ 60 mm</t>
  </si>
  <si>
    <t xml:space="preserve">პლასტმასის გამანაწილებელი ყუთის დამონტაჟება 98 x 98 მმ </t>
  </si>
  <si>
    <t>განათების აღჭურვილობების შესყიდვა და მოწყობა, ტიპი:
კომპლექტი  შესაბამისი სიმძლავრის ნათურით და ინფიქსური ინსტრუმენტით</t>
  </si>
  <si>
    <t>Purchase and  installation of  the light armature, type:
set with the bulb of appropriate power and infix tool</t>
  </si>
  <si>
    <t xml:space="preserve">ჩამრთველის შესყიდვა და მონტაჟი,220V/10A კომპლექტი ორივე ბოლოში შემაერთებლებით, </t>
  </si>
  <si>
    <r>
      <t xml:space="preserve">pcs.
</t>
    </r>
  </si>
  <si>
    <t>Purchase and  mounting of the installation switch
 220V/10A , set with connections on both ends;</t>
  </si>
  <si>
    <t xml:space="preserve">ერთფაზიანი საშტეფსელო როზეტის 220V/10A შესყიდვა და მონტაჟი, კომპლექტი ორივე ბოლოში შემაერთებლებით, </t>
  </si>
  <si>
    <t>Purchase and  installation of - mono-phase sockets 220V/10A ,
set with connections on both ends, recesset</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</si>
  <si>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2,5მმ2, </t>
  </si>
  <si>
    <t>Purchase and Installation of cable, type:PPY-3 x 2,5mm2, needed for 
installation of the mono-phase connectors,  set with connections on both ends</t>
  </si>
  <si>
    <t xml:space="preserve">ელექტრო განათების მოწყობისთვის საჭირო კაბელის შესყიდვა და კედელში ჩამონტაჟება, კომლექტი ორივე ბოლოში შემაერთებლებით, PPY-3 x 1,5მმ2, </t>
  </si>
  <si>
    <t>Cable purchase and in-wall installation, type: PPY-3 x 1,5mm2, needed
for electric lightening installation, set with connections on both ends</t>
  </si>
  <si>
    <t>Price  /ფასი</t>
  </si>
  <si>
    <t xml:space="preserve"> Quantity/რაოდენობა     </t>
  </si>
  <si>
    <t xml:space="preserve">Unit price/ერთეულის ფასი  </t>
  </si>
  <si>
    <t xml:space="preserve">Measure/საზომი    </t>
  </si>
  <si>
    <t>Technical description/ ტექნიკური აღწერა</t>
  </si>
  <si>
    <t>Pos.</t>
  </si>
  <si>
    <t>Actual/ფაქტიური</t>
  </si>
  <si>
    <t>Planed/დაგეგმილი</t>
  </si>
  <si>
    <t>* პლასტმასის მილების და სანიტარული მოწყობილობები- ფირატი-თურქეთი</t>
  </si>
  <si>
    <t>* Plastic pipes and sanitary facilities from Firat-Turkey</t>
  </si>
  <si>
    <r>
      <t>Total installation works</t>
    </r>
    <r>
      <rPr>
        <b/>
        <sz val="12"/>
        <rFont val="Arial"/>
        <family val="2"/>
      </rPr>
      <t xml:space="preserve"> სულ სამონტაჟო სამუშაოები</t>
    </r>
  </si>
  <si>
    <t>პანელური რადიატორების შეძენა და მოწყობა h=60სმ</t>
  </si>
  <si>
    <r>
      <t xml:space="preserve">m'
</t>
    </r>
  </si>
  <si>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t>
  </si>
  <si>
    <t xml:space="preserve">The outlet valves have to be placed on the accessable places. The constructor is obliged
to take care of installation till the take over. The price comprises work on all
openings and holes in the walls. Calculation made per m' of the final installation. </t>
  </si>
  <si>
    <t xml:space="preserve">პოლიპროპილენის ცხელი წყლის ფოლგიანი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</si>
  <si>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Purchase, transportation and installation of the hot water polipropilen pipes and appropriate fittings. The water pipes vertical and horizontal lines to be installed along the walls. All openings on the network have to be closed by the appropriate plugs until the required fixture has been installed. The distribution network has to be fixed so that the valve flanges are completely equal with the treated wall surface. The  contructor will take care of the installation till the building take-over. The final test is to be made and to be signed by supervisor body.</t>
  </si>
  <si>
    <r>
      <t>Heating system Installation works</t>
    </r>
  </si>
  <si>
    <r>
      <t>Total</t>
    </r>
  </si>
  <si>
    <r>
      <t>Quantity</t>
    </r>
  </si>
  <si>
    <t>Description of Works/სამუშათა აღწერა</t>
  </si>
  <si>
    <t xml:space="preserve">გათბობის სისტემის მოწყობის ხარჯთარიცხვა </t>
  </si>
  <si>
    <t>Expanditure on the heeting system installations</t>
  </si>
  <si>
    <r>
      <t xml:space="preserve">Total water pipes and sewage system/ </t>
    </r>
    <r>
      <rPr>
        <b/>
        <sz val="10"/>
        <rFont val="Arial"/>
        <family val="2"/>
      </rPr>
      <t>წყალსადენისა და საკანალიზაციო სისტემის სამუშაოების ჯამი</t>
    </r>
  </si>
  <si>
    <r>
      <t>Total installation works/</t>
    </r>
    <r>
      <rPr>
        <b/>
        <sz val="12"/>
        <rFont val="Arial"/>
        <family val="2"/>
      </rPr>
      <t>სამონტაჟო სამუშაოები ჯამი</t>
    </r>
  </si>
  <si>
    <r>
      <t xml:space="preserve">pcs 
</t>
    </r>
  </si>
  <si>
    <t xml:space="preserve">Purchase, transportation and installtion of the stainless steel wash basin set, dimensions 55/80 - I class quality. Cracked or damaged basins must not be installed, neither the  warped ones. Also they are not to be installed directly to the tiled wall. They have to be installed by the appropriate consoles made for the given basin type. The brass screws and plastic screw anchors to be used to fix consoles. The gum objects to be installed on the consoles and the basins to be installed horizontally. The PVC siphone with a chain to be installed as well. Cold and warm water tap to be installed with a basin.
Calcualtion made per piece. </t>
  </si>
  <si>
    <t xml:space="preserve">ფაიფურის ხელსაბანი ნიჟარის ზომებით 58/46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ნიჟარასთან.
დაანგარიშებულია თითო ცალზე. 
</t>
  </si>
  <si>
    <t xml:space="preserve">Purchase, transportation and installation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piece. </t>
  </si>
  <si>
    <t>Purchase and installation of the I class quality water closet basin for children  according to the investor's specification
Calculation made per a piece.</t>
  </si>
  <si>
    <t>Purchase and installation of the I class quality water closet basin  according to the investor's specification
Calculation made per a piece.</t>
  </si>
  <si>
    <t xml:space="preserve">ტრაპის შესყიდვა და დამონტაჟბა. </t>
  </si>
  <si>
    <t>Purchase and installation of trap</t>
  </si>
  <si>
    <t>მილები Ø 50 mm</t>
  </si>
  <si>
    <t>pipes Ø 50 mm</t>
  </si>
  <si>
    <t>მილები Ø100 mm</t>
  </si>
  <si>
    <t>pipes  Ø100 mm</t>
  </si>
  <si>
    <t xml:space="preserve">მეტალოპლასტმასის საკანალიზაციო მილების შესყიდვა,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</si>
  <si>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 xml:space="preserve">Purchase, transportation and installation of PVC sewage system pipes and uniformed pieces. Pipes to be installed according to the strictly defined inclinations. Attachments to be placed on opposite side of water flow, and junctions to be fixed tightly with gym rings. The price comprises final closing of all openings. 
Calculation made per installed pipes. </t>
  </si>
  <si>
    <t>Installation works/სამონტაჟო სამუშაოები</t>
  </si>
  <si>
    <t>V</t>
  </si>
  <si>
    <t>Total soil worksi/გრუნტის სამუშაოების ჯამი</t>
  </si>
  <si>
    <r>
      <t>მ</t>
    </r>
    <r>
      <rPr>
        <vertAlign val="superscript"/>
        <sz val="10"/>
        <rFont val="Arial"/>
        <family val="2"/>
      </rPr>
      <t>3</t>
    </r>
  </si>
  <si>
    <t>მაზიდის დატვირთვა და დარჩენილი მასალის გატანა.
დაანგარიშებულია მ3.</t>
  </si>
  <si>
    <t>m3</t>
  </si>
  <si>
    <t xml:space="preserve">Wheelbarrow loading and disposal of extra material. 
Calculation made per  m³. </t>
  </si>
  <si>
    <t>მ3</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</si>
  <si>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</si>
  <si>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 xml:space="preserve">Fill back the trench with escavated material followed by proper compacting.
Filling can be done only with a pure soil, containing no debris nor stones.
Calculation made per m³. </t>
  </si>
  <si>
    <t xml:space="preserve">10 სმ სიგანით ქვიშის ფენის მოწყობა მილის ქვეშ, ირგვლივ და ზევით.
დაანგარიშებულია კუბური მეტრით. </t>
  </si>
  <si>
    <r>
      <t>Installation of sand tier 10 cm wide under, around and above he pipe. 
Calculation made per m</t>
    </r>
    <r>
      <rPr>
        <vertAlign val="superscript"/>
        <sz val="10"/>
        <color indexed="8"/>
        <rFont val="Arial"/>
        <family val="2"/>
      </rPr>
      <t>3</t>
    </r>
    <r>
      <rPr>
        <sz val="10"/>
        <color indexed="8"/>
        <rFont val="Arial"/>
        <family val="2"/>
      </rPr>
      <t xml:space="preserve">. </t>
    </r>
  </si>
  <si>
    <t xml:space="preserve">10 სმ სიგანის ხრეშის ფენის მოწყობა ფილების ქვეშ ჭის ფსკერზე. 
დაანგარიშებულია კუბური მეტრით. </t>
  </si>
  <si>
    <r>
      <t>Installation of gravel tier 10 cm wide under the slab in the bottom of mainhole.  Calculation made per m</t>
    </r>
    <r>
      <rPr>
        <vertAlign val="superscript"/>
        <sz val="10"/>
        <color indexed="8"/>
        <rFont val="Arial"/>
        <family val="2"/>
      </rPr>
      <t>3</t>
    </r>
    <r>
      <rPr>
        <sz val="10"/>
        <color indexed="8"/>
        <rFont val="Arial"/>
        <family val="2"/>
      </rPr>
      <t xml:space="preserve">. </t>
    </r>
  </si>
  <si>
    <t xml:space="preserve">გრუნტის ხელით გათხრა საკანალიზაციო მილის ტრანშეისთვის. 
დაანგარიშება კუბური მეტრით. </t>
  </si>
  <si>
    <r>
      <t>Manual escavation of III soil for the trench for sewer pipeline
Calculation made per m</t>
    </r>
    <r>
      <rPr>
        <vertAlign val="superscript"/>
        <sz val="10"/>
        <color indexed="8"/>
        <rFont val="Arial"/>
        <family val="2"/>
      </rPr>
      <t>3</t>
    </r>
    <r>
      <rPr>
        <sz val="10"/>
        <color indexed="8"/>
        <rFont val="Arial"/>
        <family val="2"/>
      </rPr>
      <t>.</t>
    </r>
  </si>
  <si>
    <t>Soil works/გრუნტის სამუშაოები</t>
  </si>
  <si>
    <t>IV</t>
  </si>
  <si>
    <t>Sewage system and sanitary equipment/საკანალიზაციო სისტემა და სანტექნიკა</t>
  </si>
  <si>
    <t xml:space="preserve">საშხაპისთვის წყლის შემრევის შესყიდვა და მონტაჟი. იმ დროიდან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თითხით. </t>
  </si>
  <si>
    <t>Purchase and installation of the water mixer tap for shower. Up to then, the valve is to be protected from damage. All gums for hot water on the valves to be replaced with appropriate high tempetrature resistant caulkers.</t>
  </si>
  <si>
    <t xml:space="preserve">ხელსაბანებისთვის და სარეცხი ნიჟარებისთვის წყლის შემრევის შესყიდვა და მონტაჟი. იმ დროიდან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თითხით. </t>
  </si>
  <si>
    <t>Purchase and installation of the water mixer tap for handwash basins water sinks. Up to then, the valve is to be protected from damage. All gums for hot water on the valves to be replaced with appropriate high tempetrature resistant caulkers.</t>
  </si>
  <si>
    <t xml:space="preserve">პოლიპროპილენის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</si>
  <si>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r>
      <t>Water system Installation works</t>
    </r>
  </si>
  <si>
    <t>I</t>
  </si>
  <si>
    <t>წყალგაყვანილობის გათბობისა და კანალიზაციის სისტემის მოწყობის ხარჯთარიცხვა</t>
  </si>
  <si>
    <t>სხვა მასალა, რომელიც არაა ჩამოთვლილი (თაბაშირი, საიზოლაციო ლენტი და ა.შ)</t>
  </si>
  <si>
    <t>Cost/ ღირებულება</t>
  </si>
  <si>
    <t>pipes Ø40 mm</t>
  </si>
  <si>
    <t>მილები Ø 40 mm</t>
  </si>
  <si>
    <t>pipes Ø 20 mm cold water</t>
  </si>
  <si>
    <t>მილები Ø 20 mm ცივი წყლის</t>
  </si>
  <si>
    <t>მილები Ø 20 mm (ცხელი წყლის)</t>
  </si>
  <si>
    <t>pipes Ø 20 mm (Hot water)</t>
  </si>
  <si>
    <t>pipes Ø 25 mm cold water</t>
  </si>
  <si>
    <t>მილები Ø 25 mm ცივი წყლის</t>
  </si>
  <si>
    <t>pipes Ø 25 mm (Hot water)</t>
  </si>
  <si>
    <t>მილები Ø 25 mm (ცხელი წყლის)</t>
  </si>
  <si>
    <t xml:space="preserve">უჟანგავი ფოლადის სამრეცხაო ნიჟარის ზომებით 55/80 (I ხარისხის) შესყიდვა, ტრანსპორტირება და დამონტაჟბა. დაუშვებელია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არამედ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ონკანი უნდა დამონტაჟდეს ნიჟარასთან.
დაანგარიშებულია თითო ცალზე. </t>
  </si>
  <si>
    <t xml:space="preserve">საბავშვო უნიტაზის (I ხარისხის) შესყიდვა და დამონტაჟება ინვესტორის სპეციფიკაციის მიხედვით. (შშმ ბავშვებისათვის)
დაანგარიშება თითო ცალზე. </t>
  </si>
  <si>
    <t xml:space="preserve">ხელსაბანებისთვის და სარეცხი ნიჟარებისთვის წყლის შემრევის შესყიდვა და მონტაჟი. იმ დროიდან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თითხით.(შშმ ბავშვებისათვის) </t>
  </si>
  <si>
    <t xml:space="preserve">Purchase, transportation and installation of the Shower pad set, dimensions 90/90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piece. </t>
  </si>
  <si>
    <t xml:space="preserve">შხაპის ქვეშის ზომებით 90/90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მოწყობილიატაკზე,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ქვეშთან.
დაანგარიშებულია თითო ცალზე. 
</t>
  </si>
  <si>
    <t xml:space="preserve">საბავშვო უნიტაზის (I ხარისხის) შესყიდვა და დამონტაჟება ინვესტორის სპეციფიკაციის მიხედვით. 
დაანგარიშება თითო ცალზე. </t>
  </si>
  <si>
    <t xml:space="preserve">უნიტაზის (I ხარისხის) შესყიდვა და დამონტაჟება ინვესტორის სპეციფიკაციის მიხედვით. 
დაანგარიშება თითო ცალზე. </t>
  </si>
  <si>
    <t>Purchase and installation of the I class quality water closet basin for children  according to the investor's specification(for handicapped children)
Calculation made per a piece.</t>
  </si>
  <si>
    <t>Purchase and installation of the water heater 32kwt</t>
  </si>
  <si>
    <t>გათბობის ქვაბის შეძენა და მოწყობა 32კვტ სიმძლავრის</t>
  </si>
  <si>
    <t>pipes Ø 40 mm inc thermal insulation</t>
  </si>
  <si>
    <t>მილები Ø40 mm inc thermal insulation</t>
  </si>
  <si>
    <t>pipes Ø 32 mm inc thermal insulation</t>
  </si>
  <si>
    <t>მილები Ø 32 mm inc thermal insulation</t>
  </si>
  <si>
    <t>pipes Ø 25 mm inc thermal insulation</t>
  </si>
  <si>
    <t>მილები Ø 25 mm inc thermal insulation</t>
  </si>
  <si>
    <t>pipes Ø 20 mm inc thermal insulation</t>
  </si>
  <si>
    <t>მილები Ø 20 mm inc thermal insulation</t>
  </si>
  <si>
    <t>Purchase and installation of the dryier radiators h=60cm</t>
  </si>
  <si>
    <t>Purchase and installation of the panel radiators 50*120cm</t>
  </si>
  <si>
    <t>საშრობი რადიატორის შეძენა და მოწყობა 50*120სმ</t>
  </si>
  <si>
    <t>Purchase and installation of ccyrculation pump 70wt</t>
  </si>
  <si>
    <t>საცირკულაციო ტუმბოს შეძენა და მოწყობა 70ვტ სიმძლავრის</t>
  </si>
  <si>
    <t>ელექტროგამთიშველი კარადის მოწყობა 250ამ 1- 100ამ და 3-40ამ სამფაზა გამთიშველებით</t>
  </si>
  <si>
    <t>Installation of el. switch 250am with 1-100am and 3-40am breakers</t>
  </si>
  <si>
    <t>Installation of distribution box with 6 mono-phase switch breakers 220V/16A,
and 6 220V/10A set with connections on both ends, external</t>
  </si>
  <si>
    <t>Purchase and Installation of cable, type:PPY-5 x 4mm2,  set with connections on both ends</t>
  </si>
  <si>
    <t xml:space="preserve"> კაბელის შესყიდვა და კედელში ჩამონტაჟება, ორივე ბოლოში შემაერთებლებით, PPY-5 x 4მმ2, </t>
  </si>
  <si>
    <t>Purchase and  installation of -fans 25wt</t>
  </si>
  <si>
    <t>გამწოვი ვენტილატორების შესყიდვა და მონტაჟი 25ვტ</t>
  </si>
  <si>
    <t>განზ/ერთეული</t>
  </si>
  <si>
    <r>
      <t>FENCING-</t>
    </r>
    <r>
      <rPr>
        <b/>
        <sz val="13"/>
        <rFont val="AcadNusx"/>
        <family val="0"/>
      </rPr>
      <t xml:space="preserve"> </t>
    </r>
    <r>
      <rPr>
        <b/>
        <sz val="13"/>
        <rFont val="Arial"/>
        <family val="2"/>
      </rPr>
      <t>შემოღობვა</t>
    </r>
  </si>
  <si>
    <t xml:space="preserve">Concreting of the cokle for fencing with concrete M-250 </t>
  </si>
  <si>
    <t>Supply of the material and painting of metal fence with high quality oil paint in two layers</t>
  </si>
  <si>
    <t>მასალის მოწოდება და ღობის შეღებვა ზეთოვანი საღებავით ორ ფენად</t>
  </si>
  <si>
    <r>
      <t>m</t>
    </r>
    <r>
      <rPr>
        <vertAlign val="superscript"/>
        <sz val="10"/>
        <rFont val="AcadNusx"/>
        <family val="0"/>
      </rPr>
      <t>2</t>
    </r>
  </si>
  <si>
    <t>Fencing of Khoni KG</t>
  </si>
  <si>
    <t>ხონის საბავშვო ბაღის შემოღობვა</t>
  </si>
  <si>
    <t>დაზიანებული ლითონის ღობის დაშლა და გატანა</t>
  </si>
  <si>
    <r>
      <t>მასალის მოწოდება და ტერიტორიის ღობის ზეძირკვლის მოწყობა ბეტონით</t>
    </r>
    <r>
      <rPr>
        <sz val="12"/>
        <rFont val="Arial"/>
        <family val="2"/>
      </rPr>
      <t xml:space="preserve"> M250 </t>
    </r>
  </si>
  <si>
    <t>მასალის მოწოდება და ლითონის ჭიშკრის დამზადება და მოწყობა</t>
  </si>
  <si>
    <t>Supply of the material and installation of metal gate</t>
  </si>
  <si>
    <t>მასალის მოწოდება და ლითონის ღობის მოწყობა(დართული ნახაზის მიხედვით)</t>
  </si>
  <si>
    <t>Supply of the material and installing of metal net (According to drawings)</t>
  </si>
  <si>
    <t>Supply of the material and installing of metal net in existing metal frames 40x40mmx3,8mm</t>
  </si>
  <si>
    <t>მასალის მოწოდება და მავთულბადის მოწყობა არსებულ ლითონის ჩარჩოში 40X40mm 3,8mm</t>
  </si>
  <si>
    <t xml:space="preserve">TOTAL </t>
  </si>
  <si>
    <t>მასალების მოწოდება და არსებულ აგურის კედლებში სავენტილაციო არხების გაწმენდა აღდგენა</t>
  </si>
  <si>
    <t>Supply of materials and cleaning and renovating of ventilation channels</t>
  </si>
  <si>
    <t>KITCHEN ELEVATOR-სამზარეულოს ლიფტი</t>
  </si>
  <si>
    <t>მასალის მოწოდება და ლითონის მოაჯირის შეღებვა ზეთოვანი საღებავით ორ ფენად</t>
  </si>
  <si>
    <t>მასალის მოწოდება და თაბაშირმუყაოს შეკიდული ჭერის მოწყობა 120X250X1.2sm ზომის ფილებით გასწორებულ ზედაპირზე</t>
  </si>
  <si>
    <t>მასალის მოწოდება და პლასტიკატისს შეკიდული ჭერის მოწყობა გასწორებულ ზედაპირზე</t>
  </si>
  <si>
    <t>ღიობის გახსნა რკინაბეტონის ფილაში ლიფტის მოსაწყობად ზომით გეგმაში1,0*0,8მ ნახაზის მიხედვით</t>
  </si>
  <si>
    <t>მასალის მოწოდება და რკინაბეტონის ფილის გამაგრება ლითონის კოჭით ნახაზის მიხედვით</t>
  </si>
  <si>
    <t>მასალის მოწოდება და ლიფტის კედლების მოწყობა  120X250X1.2sm ზომის ფილებით გასწორებულ ზედაპირზე</t>
  </si>
  <si>
    <t>მასალის მოწოდება და სამზარეულოს ლიფტის კედლების ლითონის კარკასის მოწყობა ნახაზის მიხედვით</t>
  </si>
  <si>
    <t>VENTILATION-ვენტილაციის სამუშაოები</t>
  </si>
  <si>
    <t>TOTAL 10</t>
  </si>
  <si>
    <t>მასალების მოწოდება და მრგვალი კვეთის არხული ვენტილატორისL=160 m3/sT  dp=80pa.   მოწყობა</t>
  </si>
  <si>
    <t>მასალების მოწოდება და ჰაერსატარების მოწყობა მოთუთიებული თუნუქის ფურცლით 0,6მმ</t>
  </si>
  <si>
    <t>მასალების მოწოდება და გამწოვი ხუფის მოწყობა მოთუთიებული თუნუქის ფურცლით 0,6მმ</t>
  </si>
  <si>
    <t>VENTILATION-ვენტილაცია</t>
  </si>
  <si>
    <t>ლითონის მოაჯირების მოხსნა და დატვირთვა თვითმცლელზე</t>
  </si>
  <si>
    <t>დაზიანებული ასფალტის საფარის მოხსნა და დატვირთვა ავტოთვითმცლელზე</t>
  </si>
  <si>
    <t>მასალის მოწოდება და ბეტონის ბორდიურების მოწყობა 10X20სმ</t>
  </si>
  <si>
    <t>მასალის მოწოდება და ბეტონის ფილების მოწყობა სისქით 6სმ ქვიშის ბალიშზე სისქით 6სმ</t>
  </si>
  <si>
    <t>kafeli</t>
  </si>
  <si>
    <t xml:space="preserve">Remark : Calculations for materials have to be done by contractor , according to the drawings </t>
  </si>
  <si>
    <t xml:space="preserve">DESCRIPTION OF THE WORKS </t>
  </si>
  <si>
    <t>Demolition of damaged plaster from the walls and loading on trucks</t>
  </si>
  <si>
    <t>Demolition of ceramic floor tiles and loading on truck</t>
  </si>
  <si>
    <t>Demolition of outside stairs and loading on trucks</t>
  </si>
  <si>
    <t>Demolition of metal handrails and loading on trucks</t>
  </si>
  <si>
    <t>ბაღის ტერიტორიაზე არსებული სამშენებლო ნაგვის დატვირთვა თვითმცლელზე</t>
  </si>
  <si>
    <t>Transportation of construction debris from the site</t>
  </si>
  <si>
    <t>Loading of existing construction debris from the teritory of KG on trucks</t>
  </si>
  <si>
    <t>Suplly,bending and installation of the steelbar</t>
  </si>
  <si>
    <t>Supply of the material and installing of outside window sills with painteded  metal sheet (thicknes d=2,00 mm).</t>
  </si>
  <si>
    <t>მასალის მოწოდება და ქარხნული წარმოების  საცრემლურების მოწყობა შეღებილი ფურცლოვანი ლითონით (სისქe 2,00 მმ).</t>
  </si>
  <si>
    <t>მასალების მოწოდება და შიდა კედლების მობათქაშება (სისქe 3სმ).</t>
  </si>
  <si>
    <t>მასალების მოწოდება და კარების და ფანჯრების გვერდულების მობათქაშება (სისქe 3სმ).</t>
  </si>
  <si>
    <t>Supply of materials and plastering external walls on metal net (1,1mm 20X20cm).</t>
  </si>
  <si>
    <t>Supply of materials and painting of the external walls with façade paint .</t>
  </si>
  <si>
    <t>მასალების მოწოდება და ფასადის კედლების შეღებვა ფასადის საღებავით.</t>
  </si>
  <si>
    <r>
      <t xml:space="preserve">Supply of the materials and fixing of the vapore seal of ceiling by PVC 0.2 mm. </t>
    </r>
  </si>
  <si>
    <t>Supply of the materials and installation of thermal insulation with pumice 5cm</t>
  </si>
  <si>
    <t>მასალის მოწოდება და 5sm პემზის თბოიზოლაციის მოწყობა</t>
  </si>
  <si>
    <t>მასალის მოწოდება და გადახურვის ხის ელემენტების ანტისეპტიკuრი დამუშავება</t>
  </si>
  <si>
    <t>Supply of materials &amp; arranging  of cornnice of roof with wooden planks 26mm thick on 1,0m metal frame</t>
  </si>
  <si>
    <t>Supply with materials and surfacing of the outside stairs  with natural stone-basalt (including the glue)3,0cm</t>
  </si>
  <si>
    <t>Supply of the materials and painting of the ceiling with emulsion paint in two layars</t>
  </si>
  <si>
    <t>Supply of the materials and painting of the walls with emulsion paint in two layars</t>
  </si>
  <si>
    <t>Supply of materials and preparation of the walls and ceiling for painting</t>
  </si>
  <si>
    <t>Supply of the materials and surfacing the walls in the toilet with ceramic tiles, I class, h=1,8 m' (including the glue).</t>
  </si>
  <si>
    <t>Supply of the materials &amp; fixing laminated partitions in toilets H=1,8m</t>
  </si>
  <si>
    <t>Supply of the materials &amp; fixing of concrete steps 15X30X130cm</t>
  </si>
  <si>
    <t>Supply of the mateials&amp; painting of metal handrails with enamel paint 2 layers</t>
  </si>
  <si>
    <t>Supply of the materials &amp; fixing of metal handrails 1,0m Heighs</t>
  </si>
  <si>
    <t>Supply and installation of pvc door  80 x210 cm'</t>
  </si>
  <si>
    <t>Supply and installation of pvc door  90 x210 cm'</t>
  </si>
  <si>
    <t>Supply and installation of pvc door  100 x210 cm'</t>
  </si>
  <si>
    <t>Supply and installation of pvc door  90 x270 cm'</t>
  </si>
  <si>
    <t>Supply and installation of pvc door  150 x270 cm'</t>
  </si>
  <si>
    <t>Water &amp; sewage works have to be done according to the drawings.</t>
  </si>
  <si>
    <t>Water heeting has to be done according to the drawings.</t>
  </si>
  <si>
    <t>გათბობის სამუშაოები  unda ganxorcieldes ნახაზების მიხედვით</t>
  </si>
  <si>
    <t>Supply of the materials and installation of round cross-section axial fan=160 m3/per hour   according to the drawings.</t>
  </si>
  <si>
    <t>Supply of the materials and installation of ventilation shafts with Galvanized iron sheet 0,6 mm</t>
  </si>
  <si>
    <t>Supply of the materials and installation of ventilating cowl with galvanized iron sheet 0.6 mm</t>
  </si>
  <si>
    <t>Opening of the hole in reinforcement concrete tile for installation of elevator- sizes 1,0x0,8m according drawings</t>
  </si>
  <si>
    <t>Supply of the materials &amp;Strengthening of R/C tile with metal beam according to drawings</t>
  </si>
  <si>
    <t>Supply of the materiasl&amp;fixing of metal frame for elevator walls with metal beam according to drawings</t>
  </si>
  <si>
    <t>მასალის მოწოდება და სამზარეულოს ლიფტის მოწყობა სიმაღლით 4მ ზომით გეგმაში1,0*0,8მ ნახაზის მიხედვით</t>
  </si>
  <si>
    <t>Supply of the materials &amp; fixing of kitchen elevatorH=4m sizes 1,0x0,8m according drawings</t>
  </si>
  <si>
    <t>Supply of the materials&amp; installation of concrete curbs 10X20cm</t>
  </si>
  <si>
    <t>Supply of the materials &amp; prepairing of teritory for paving with sand layer 6cm thickness</t>
  </si>
  <si>
    <t>Supply of the materials &amp; Installation of concrete tiles 6cm thick on send base thickness 6cm</t>
  </si>
  <si>
    <t>Transportation of construction debris from site</t>
  </si>
  <si>
    <t>Supply of the materials and installation of the Elevator walls with  120X250X12 mm' tiles on the leveled surface</t>
  </si>
  <si>
    <t>Supply of the materials and installation of the gypsum drop ceiling with  120X250X12 mm' tiles on the leveled surface</t>
  </si>
  <si>
    <t>Supply of the materials and installation of the plastic drop ceiling on the leveled surface</t>
  </si>
  <si>
    <t>Installation of electric internal wiring</t>
  </si>
  <si>
    <t>შიდა ელექტრო გაყვანილობის მოწყობა</t>
  </si>
  <si>
    <t xml:space="preserve">Installation of distribution (PVC) boxes 98 x 98mm </t>
  </si>
  <si>
    <t>Installation of distribution (PVC) boxes Φ 60 mm</t>
  </si>
  <si>
    <t xml:space="preserve">Bill of quantity for water supply works, heeting and sewage system installations </t>
  </si>
  <si>
    <t>Purchase, transportation and installation of the polipropilen pipes and appropriate fittings. The water supply pipes vertical and horizontal lines to be installed along walls. All openings on the network have to be closed by the appropriate plugs until the required fixture has been installed. The distribution network has to be fixed so that the valve flanges are completely equal with the treated wall surface. The constructor will take care of the installation till the building takeover. The final test has to be made and  signed by the supervisor body.</t>
  </si>
  <si>
    <t xml:space="preserve">The outlet valves have to be placed on the accessable places. The constructor is obliged
to take care about instatllation till the take over. The price comprises work on all
openings and holes in the walls. Calculation made per m' of the final installation. </t>
  </si>
  <si>
    <t>Purchase and installation of the water mixer tap for handwash basins and water sinks. Up to then, the valve is to be protected from damage. All gums for hot water on the valves to be replaced with appropriate high tempetrature resistant caulkers.(for handicapped children)</t>
  </si>
  <si>
    <r>
      <t>m</t>
    </r>
    <r>
      <rPr>
        <vertAlign val="superscript"/>
        <sz val="11"/>
        <rFont val="Arial"/>
        <family val="2"/>
      </rPr>
      <t>2</t>
    </r>
  </si>
  <si>
    <r>
      <rPr>
        <sz val="11"/>
        <rFont val="AcadNusx"/>
        <family val="0"/>
      </rPr>
      <t>მ</t>
    </r>
    <r>
      <rPr>
        <vertAlign val="superscript"/>
        <sz val="11"/>
        <rFont val="Arial"/>
        <family val="2"/>
      </rPr>
      <t>2</t>
    </r>
  </si>
  <si>
    <r>
      <t>m</t>
    </r>
    <r>
      <rPr>
        <vertAlign val="superscript"/>
        <sz val="11"/>
        <rFont val="Arial"/>
        <family val="2"/>
      </rPr>
      <t>3</t>
    </r>
  </si>
  <si>
    <r>
      <rPr>
        <sz val="11"/>
        <rFont val="AcadNusx"/>
        <family val="0"/>
      </rPr>
      <t>მ</t>
    </r>
    <r>
      <rPr>
        <vertAlign val="superscript"/>
        <sz val="11"/>
        <rFont val="Arial"/>
        <family val="2"/>
      </rPr>
      <t>3</t>
    </r>
  </si>
  <si>
    <r>
      <rPr>
        <sz val="11"/>
        <rFont val="AcadNusx"/>
        <family val="0"/>
      </rPr>
      <t>m</t>
    </r>
    <r>
      <rPr>
        <vertAlign val="superscript"/>
        <sz val="11"/>
        <rFont val="Arial"/>
        <family val="2"/>
      </rPr>
      <t>2</t>
    </r>
  </si>
  <si>
    <r>
      <t>m</t>
    </r>
    <r>
      <rPr>
        <vertAlign val="superscript"/>
        <sz val="11"/>
        <rFont val="Arial"/>
        <family val="2"/>
      </rPr>
      <t>3</t>
    </r>
  </si>
  <si>
    <r>
      <rPr>
        <sz val="11"/>
        <rFont val="AcadNusx"/>
        <family val="0"/>
      </rPr>
      <t>m</t>
    </r>
    <r>
      <rPr>
        <vertAlign val="superscript"/>
        <sz val="11"/>
        <rFont val="Arial"/>
        <family val="2"/>
      </rPr>
      <t>3</t>
    </r>
  </si>
  <si>
    <r>
      <t xml:space="preserve">Steelbar A-I D6mm       </t>
    </r>
    <r>
      <rPr>
        <b/>
        <sz val="11"/>
        <rFont val="AcadNusx"/>
        <family val="0"/>
      </rPr>
      <t xml:space="preserve">  armatura</t>
    </r>
    <r>
      <rPr>
        <b/>
        <sz val="11"/>
        <rFont val="Arial"/>
        <family val="2"/>
      </rPr>
      <t xml:space="preserve"> A-I D6</t>
    </r>
    <r>
      <rPr>
        <b/>
        <sz val="11"/>
        <rFont val="AcadNusx"/>
        <family val="0"/>
      </rPr>
      <t>mm</t>
    </r>
  </si>
  <si>
    <r>
      <t xml:space="preserve">Steelbar A-I D8mm          </t>
    </r>
    <r>
      <rPr>
        <b/>
        <sz val="11"/>
        <rFont val="AcadNusx"/>
        <family val="0"/>
      </rPr>
      <t>armatura</t>
    </r>
    <r>
      <rPr>
        <b/>
        <sz val="11"/>
        <rFont val="Arial"/>
        <family val="2"/>
      </rPr>
      <t xml:space="preserve"> A</t>
    </r>
    <r>
      <rPr>
        <b/>
        <sz val="11"/>
        <rFont val="AcadNusx"/>
        <family val="0"/>
      </rPr>
      <t>-I</t>
    </r>
    <r>
      <rPr>
        <b/>
        <sz val="11"/>
        <rFont val="Arial"/>
        <family val="2"/>
      </rPr>
      <t xml:space="preserve"> D</t>
    </r>
    <r>
      <rPr>
        <b/>
        <sz val="11"/>
        <rFont val="AcadNusx"/>
        <family val="0"/>
      </rPr>
      <t>8mm</t>
    </r>
  </si>
  <si>
    <r>
      <t xml:space="preserve">MASONRY WORKS- </t>
    </r>
    <r>
      <rPr>
        <b/>
        <sz val="11"/>
        <rFont val="AcadNusx"/>
        <family val="0"/>
      </rPr>
      <t>კედლის წყობა</t>
    </r>
  </si>
  <si>
    <r>
      <t>ROOF WORKS-</t>
    </r>
    <r>
      <rPr>
        <b/>
        <sz val="11"/>
        <rFont val="AcadNusx"/>
        <family val="0"/>
      </rPr>
      <t>გადახურვის სამუSაოები</t>
    </r>
  </si>
  <si>
    <r>
      <t>m</t>
    </r>
    <r>
      <rPr>
        <vertAlign val="superscript"/>
        <sz val="11"/>
        <rFont val="Arial"/>
        <family val="2"/>
      </rPr>
      <t xml:space="preserve">2
</t>
    </r>
  </si>
  <si>
    <r>
      <rPr>
        <vertAlign val="superscript"/>
        <sz val="11"/>
        <rFont val="Arial"/>
        <family val="2"/>
      </rPr>
      <t xml:space="preserve">
</t>
    </r>
    <r>
      <rPr>
        <sz val="11"/>
        <rFont val="AcadNusx"/>
        <family val="0"/>
      </rPr>
      <t>მ</t>
    </r>
    <r>
      <rPr>
        <vertAlign val="superscript"/>
        <sz val="11"/>
        <rFont val="Arial"/>
        <family val="2"/>
      </rPr>
      <t>2</t>
    </r>
  </si>
  <si>
    <r>
      <t>მასალის მოწოდება და ორთქლის იზოლაციის მოწყობა ჭერში პოლიეთილენის ფირით 0.2მმ.</t>
    </r>
    <r>
      <rPr>
        <sz val="11"/>
        <rFont val="Arial"/>
        <family val="2"/>
      </rPr>
      <t xml:space="preserve"> </t>
    </r>
  </si>
  <si>
    <r>
      <t xml:space="preserve">FLOORING AND PANELING -იატაკის, </t>
    </r>
    <r>
      <rPr>
        <b/>
        <sz val="11"/>
        <rFont val="AcadNusx"/>
        <family val="0"/>
      </rPr>
      <t xml:space="preserve">ჭერის და ტიხრების </t>
    </r>
    <r>
      <rPr>
        <b/>
        <sz val="11"/>
        <rFont val="Arial"/>
        <family val="2"/>
      </rPr>
      <t xml:space="preserve">მოწყობა </t>
    </r>
  </si>
  <si>
    <r>
      <t>m</t>
    </r>
    <r>
      <rPr>
        <vertAlign val="superscript"/>
        <sz val="11"/>
        <rFont val="Arial"/>
        <family val="2"/>
      </rPr>
      <t>2</t>
    </r>
  </si>
  <si>
    <r>
      <t xml:space="preserve">მასალის მოწოდება და კედლების მოპირკეთება კაფელით I კლასი, </t>
    </r>
    <r>
      <rPr>
        <sz val="11"/>
        <rFont val="Arial"/>
        <family val="2"/>
      </rPr>
      <t>H</t>
    </r>
    <r>
      <rPr>
        <sz val="11"/>
        <rFont val="AcadNusx"/>
        <family val="0"/>
      </rPr>
      <t>=1,8m (წებოს ჩათვლით)</t>
    </r>
  </si>
  <si>
    <t>Supply and installation of PVC windows 180 x 180 cm' (Termopan glass 4+12+4)</t>
  </si>
  <si>
    <t xml:space="preserve">Supply and fixing the plastic window sill 4cmX15cmX190cm </t>
  </si>
  <si>
    <r>
      <rPr>
        <b/>
        <sz val="11"/>
        <color indexed="8"/>
        <rFont val="Arial"/>
        <family val="2"/>
      </rPr>
      <t>Yard arrangement</t>
    </r>
    <r>
      <rPr>
        <b/>
        <sz val="11"/>
        <rFont val="Arial"/>
        <family val="2"/>
      </rPr>
      <t>-ეზოს კეთილმოწყობა</t>
    </r>
  </si>
  <si>
    <r>
      <t>m</t>
    </r>
    <r>
      <rPr>
        <vertAlign val="superscript"/>
        <sz val="11"/>
        <rFont val="Arial"/>
        <family val="2"/>
      </rPr>
      <t xml:space="preserve">3
</t>
    </r>
  </si>
  <si>
    <r>
      <t>m</t>
    </r>
    <r>
      <rPr>
        <vertAlign val="superscript"/>
        <sz val="11"/>
        <rFont val="AcadNusx"/>
        <family val="0"/>
      </rPr>
      <t>3</t>
    </r>
  </si>
  <si>
    <r>
      <t>RECAPITUALTION-</t>
    </r>
    <r>
      <rPr>
        <b/>
        <sz val="11"/>
        <rFont val="AcadNusx"/>
        <family val="0"/>
      </rPr>
      <t>კრებსითი ხარჯთაღრიცხვა</t>
    </r>
  </si>
  <si>
    <r>
      <t>DEMOLITION WORKS/</t>
    </r>
    <r>
      <rPr>
        <b/>
        <sz val="11"/>
        <rFont val="Arial"/>
        <family val="2"/>
      </rPr>
      <t>დაშლის სამუშაოები</t>
    </r>
  </si>
  <si>
    <r>
      <t xml:space="preserve">CONCRETE WORKS/ </t>
    </r>
    <r>
      <rPr>
        <b/>
        <sz val="11"/>
        <rFont val="Arial"/>
        <family val="2"/>
      </rPr>
      <t>ბეტონის სამუშაოები</t>
    </r>
  </si>
  <si>
    <r>
      <t xml:space="preserve">REINFORCEMENT STEEL/ </t>
    </r>
    <r>
      <rPr>
        <b/>
        <sz val="11"/>
        <rFont val="AcadNusx"/>
        <family val="0"/>
      </rPr>
      <t>ფოლადის არმატურა</t>
    </r>
  </si>
  <si>
    <r>
      <t>MASONRY WORKS /</t>
    </r>
    <r>
      <rPr>
        <b/>
        <sz val="11"/>
        <rFont val="AcadNusx"/>
        <family val="0"/>
      </rPr>
      <t>კედლის წყობა</t>
    </r>
  </si>
  <si>
    <r>
      <t>ROOF WORKS /</t>
    </r>
    <r>
      <rPr>
        <b/>
        <sz val="11"/>
        <rFont val="AcadNusx"/>
        <family val="0"/>
      </rPr>
      <t xml:space="preserve"> გადახურვის სამუშაოები</t>
    </r>
  </si>
  <si>
    <r>
      <t xml:space="preserve">PLASTER WORKS / </t>
    </r>
    <r>
      <rPr>
        <b/>
        <sz val="11"/>
        <rFont val="AcadNusx"/>
        <family val="0"/>
      </rPr>
      <t>ბათქაში</t>
    </r>
  </si>
  <si>
    <r>
      <t>INSULATION WORKS /</t>
    </r>
    <r>
      <rPr>
        <b/>
        <sz val="11"/>
        <rFont val="AcadNusx"/>
        <family val="0"/>
      </rPr>
      <t xml:space="preserve"> საიზოლაციო სამუშაოები</t>
    </r>
  </si>
  <si>
    <r>
      <t>FLOORING AND PANELING /</t>
    </r>
    <r>
      <rPr>
        <b/>
        <sz val="11"/>
        <rFont val="AcadNusx"/>
        <family val="0"/>
      </rPr>
      <t xml:space="preserve"> იატაკი, ჭერი და ტიხრები</t>
    </r>
  </si>
  <si>
    <r>
      <t xml:space="preserve">JOINERY / </t>
    </r>
    <r>
      <rPr>
        <b/>
        <sz val="11"/>
        <rFont val="AcadNusx"/>
        <family val="0"/>
      </rPr>
      <t>სადურგლო სამუშაოები</t>
    </r>
  </si>
  <si>
    <r>
      <t xml:space="preserve">ELECTRICAL WORKS / </t>
    </r>
    <r>
      <rPr>
        <b/>
        <sz val="11"/>
        <rFont val="AcadNusx"/>
        <family val="0"/>
      </rPr>
      <t>ელექტროგაყვანილობის სამუშაოები</t>
    </r>
  </si>
  <si>
    <r>
      <t>WATER &amp; SEWAGE WORKS /</t>
    </r>
    <r>
      <rPr>
        <b/>
        <sz val="11"/>
        <rFont val="AcadNusx"/>
        <family val="0"/>
      </rPr>
      <t>წყალგაყვანილობა–კანალიზაციის სამუშაოები</t>
    </r>
  </si>
  <si>
    <r>
      <t xml:space="preserve"> TOTAL
</t>
    </r>
    <r>
      <rPr>
        <b/>
        <sz val="11"/>
        <rFont val="AcadNusx"/>
        <family val="0"/>
      </rPr>
      <t>სულ</t>
    </r>
  </si>
  <si>
    <r>
      <t xml:space="preserve">GRAND TOTAL
</t>
    </r>
    <r>
      <rPr>
        <b/>
        <sz val="11"/>
        <rFont val="AcadNusx"/>
        <family val="0"/>
      </rPr>
      <t xml:space="preserve">სულ </t>
    </r>
  </si>
  <si>
    <t>Demolition of existing damaged metal fencing</t>
  </si>
  <si>
    <t>Demolition of  walls and loading on trucks</t>
  </si>
  <si>
    <t>Dismantling of damaged concrete steps and loading on trucks</t>
  </si>
  <si>
    <t>Supply of materials and reinforced installation of the wall  d=12 cm' width blocks 12x20x40 cm'</t>
  </si>
  <si>
    <t>Supply of the materials and installation of the timber roof structure (including battens and fixtures).</t>
  </si>
  <si>
    <t>Supply of materials and installation of roof manhole</t>
  </si>
  <si>
    <t>Supply of the materials and plastering inside walls (3cm thick).</t>
  </si>
  <si>
    <t>Supply of the materials and plastering of door and window's reveals (3cm thick).</t>
  </si>
  <si>
    <t>Supply of the materials and polishing of wooden floors and painting with lacquer (3 layers).</t>
  </si>
  <si>
    <t>Supply of the materials and installation of the floor  with ceramic tiles, I class, (including the glue).</t>
  </si>
  <si>
    <t>Deinstallation of damaged asphalt covering and load on the truck</t>
  </si>
  <si>
    <r>
      <t xml:space="preserve">   labour rate
</t>
    </r>
  </si>
  <si>
    <r>
      <t xml:space="preserve">DEMOLITION WORKS  - </t>
    </r>
    <r>
      <rPr>
        <b/>
        <sz val="11"/>
        <rFont val="AcadNusx"/>
        <family val="0"/>
      </rPr>
      <t>დაშლის სამუშაოები</t>
    </r>
  </si>
  <si>
    <t>Supply of the materials and cement screeding on the floor  40mm thick</t>
  </si>
  <si>
    <t>Supply of the materials and installation of the entrance metal door (handmade with double metal sheet 1,8mm thick) 90 x270 cm'</t>
  </si>
  <si>
    <t>Supply and instalaltion of the entrance metal door (handmade with double metal sheet 1,8mmthick) 120 x240 cm'</t>
  </si>
  <si>
    <t xml:space="preserve">pcs.
  </t>
  </si>
  <si>
    <t xml:space="preserve">pcs.
    </t>
  </si>
  <si>
    <t xml:space="preserve">pcs.
   </t>
  </si>
  <si>
    <t xml:space="preserve">pcs.
     </t>
  </si>
  <si>
    <r>
      <t xml:space="preserve">გამანაწილებელი </t>
    </r>
    <r>
      <rPr>
        <sz val="8"/>
        <rFont val="AcadNusx"/>
        <family val="0"/>
      </rPr>
      <t>ყუთის</t>
    </r>
    <r>
      <rPr>
        <sz val="8"/>
        <rFont val="Arial"/>
        <family val="2"/>
      </rPr>
      <t xml:space="preserve"> დამონტაჟება 6 1ფაზიანი გადამრთველით 220V/16A და 6 1ფაზიანი გადამრთველით 220V/10A , ორივე ბოლოში შემაერთებლებით, </t>
    </r>
  </si>
  <si>
    <r>
      <rPr>
        <b/>
        <sz val="11"/>
        <rFont val="Arial"/>
        <family val="2"/>
      </rPr>
      <t xml:space="preserve">Bill of quantity and equipment for electrical instalation  </t>
    </r>
    <r>
      <rPr>
        <b/>
        <vertAlign val="superscript"/>
        <sz val="12"/>
        <rFont val="Arial"/>
        <family val="2"/>
      </rPr>
      <t xml:space="preserve">
</t>
    </r>
    <r>
      <rPr>
        <b/>
        <vertAlign val="superscript"/>
        <sz val="14"/>
        <rFont val="Calibri"/>
        <family val="2"/>
      </rPr>
      <t xml:space="preserve">ხარჯთაღრიცხვა და აღჭურვილობა შიდა ელექტრო გაყვანილობისთვის </t>
    </r>
  </si>
  <si>
    <t>გადახურვის ფილების გაშიშვლებული არმატურის ღეროების გაწმენდა დამუშავება ჟანგსაწინააღმდეგო ხსნარით და შელესვა ყინვაგამძლე წებოცემენტით</t>
  </si>
  <si>
    <r>
      <t xml:space="preserve">მასალების მოწოდება და გარე კედლების შელესვა </t>
    </r>
    <r>
      <rPr>
        <sz val="11"/>
        <rFont val="Sylfaen"/>
        <family val="1"/>
      </rPr>
      <t>ლითონის ბადეზე</t>
    </r>
    <r>
      <rPr>
        <sz val="11"/>
        <rFont val="AcadNusx"/>
        <family val="0"/>
      </rPr>
      <t xml:space="preserve"> (1,1mm 20X20sm)</t>
    </r>
  </si>
  <si>
    <t>მასალის მოწოდება და ჰიდროიზოლაციის მოწყობა იატაკის ქვეშ რუბეროიდით (ორი ფენა)</t>
  </si>
  <si>
    <t xml:space="preserve">Supply of the material and installation of  hydroinsulation with tar paper under the floor  (two layers) </t>
  </si>
  <si>
    <t>მასალის მოწოდება და აივნების პერიმეტრის შემოსვა შეღებილი ფურცლოვანი ლითონით (სისქe 0.5 მმ).</t>
  </si>
  <si>
    <t>მასალის მოწოდება და საწვიმარი მილების მოწყობა შეღებილი ფურცლოვანი ლითონით (სისქe 0.5მმ).</t>
  </si>
  <si>
    <t>მასალის მოწოდება და საწვიმარი ღარების მოწყობა შეღებილი ფურცლოვანი ლითონით (სისქe 0.5მმ).</t>
  </si>
  <si>
    <t>მასალის მოწოდება და საწვიმარი ძაბრების მოწყობა შეღებილი ფურცლოვანი ლითონით (სისქ9 0.5მმ)</t>
  </si>
  <si>
    <t>Supply of the material and installing of RWF with painted  metal sheet (thicknes d=0.5 mm)</t>
  </si>
  <si>
    <t>მასალის მოწოდება და ენდაოს მოწყობა შეღებილი ფურცლოვანი ლითონით (სისქe 0.5მმ)</t>
  </si>
  <si>
    <t>მასალის მოწოდება და სახურავის კეხის მოწყობა შეღებილი ფურცლოვანი ლითონით (სისქe 0.5მმ)</t>
  </si>
  <si>
    <t>Supply of the material and installing of the roof edges with painted sheet metal (thicknes d=0.5 mm)</t>
  </si>
  <si>
    <t>მასალების მოწოდება და სახურავის ფენილის მოწყობა მეტალოკრამიტით (სისქe 0.5მმ)</t>
  </si>
  <si>
    <t>Supply of the materials and installation of metal  tiled roof  (thickness 0.5mm )</t>
  </si>
  <si>
    <t xml:space="preserve">მასალის მოწოდება და ქვიშის საფუძვლის მოწყობა სისქით 6სმ </t>
  </si>
  <si>
    <t>Demolition of damaged wooden floor boards and loading on trucks</t>
  </si>
  <si>
    <t>Demolition of damaged roof and loading on trucks</t>
  </si>
  <si>
    <t>Supply of the material and installation of the roof gutter with painted sheet metal ( thicknes d=0.5 mm)</t>
  </si>
  <si>
    <t>Supply of the materials and anteseptic processing of wooden materials of the roof</t>
  </si>
  <si>
    <t>Supply of the material and arrangement  of perimeter of balcony with painted  metal sheet (thicknes d=0.5mm).</t>
  </si>
  <si>
    <t>Cleaning of reinforcement rods of roofing tiles by treatment of antioxidant solution and plastering with a frost-proof cement glue.</t>
  </si>
  <si>
    <t>Supply of the material and installing of RWG with painted  metal sheet ( thicknes d=0.5)</t>
  </si>
  <si>
    <t>Supply of the material and installing of RWP with painted  metal sheet( thicknes d=0.5 mm)</t>
  </si>
  <si>
    <r>
      <t xml:space="preserve">TOTAL1 - 16
</t>
    </r>
    <r>
      <rPr>
        <b/>
        <sz val="11"/>
        <rFont val="AcadNusx"/>
        <family val="0"/>
      </rPr>
      <t>სულ</t>
    </r>
    <r>
      <rPr>
        <b/>
        <sz val="11"/>
        <rFont val="Arial"/>
        <family val="2"/>
      </rPr>
      <t xml:space="preserve"> 1-16</t>
    </r>
  </si>
  <si>
    <t>REHABILITATION OF KINDERGARTEN IN KHONI</t>
  </si>
  <si>
    <t>ხონის საბავშვო ბაღის რეაბილიტაცია</t>
  </si>
  <si>
    <r>
      <rPr>
        <b/>
        <sz val="11"/>
        <rFont val="Arial"/>
        <family val="2"/>
      </rPr>
      <t>PROFIT   8</t>
    </r>
    <r>
      <rPr>
        <sz val="11"/>
        <rFont val="Arial"/>
        <family val="2"/>
      </rPr>
      <t xml:space="preserve">  %    
</t>
    </r>
    <r>
      <rPr>
        <sz val="11"/>
        <rFont val="AcadNusx"/>
        <family val="0"/>
      </rPr>
      <t xml:space="preserve">მოგება  8 %   </t>
    </r>
  </si>
  <si>
    <r>
      <rPr>
        <b/>
        <sz val="11"/>
        <rFont val="Arial"/>
        <family val="2"/>
      </rPr>
      <t>OVERHEAD EXPENSES</t>
    </r>
    <r>
      <rPr>
        <sz val="11"/>
        <rFont val="Arial"/>
        <family val="2"/>
      </rPr>
      <t xml:space="preserve">  8  %
</t>
    </r>
    <r>
      <rPr>
        <sz val="11"/>
        <rFont val="AcadNusx"/>
        <family val="0"/>
      </rPr>
      <t>ზედნადები ხარჯები   8 %</t>
    </r>
  </si>
  <si>
    <r>
      <t xml:space="preserve">VAT      18%
</t>
    </r>
    <r>
      <rPr>
        <b/>
        <sz val="11"/>
        <rFont val="AcadNusx"/>
        <family val="0"/>
      </rPr>
      <t>დღგ   18%</t>
    </r>
  </si>
  <si>
    <t>TOTAL 15</t>
  </si>
  <si>
    <t>TOTAL 13</t>
  </si>
  <si>
    <t>Fencing has to be done according to the drawings.</t>
  </si>
  <si>
    <t>შემოღობვის სამუშაოები  უნდა განხორციელდეს ნახაზების მიხედვით</t>
  </si>
  <si>
    <t>TOTAL 16</t>
  </si>
  <si>
    <t>YARD ARRANGEMENT-ეზოს კეთილმოწყობა</t>
  </si>
  <si>
    <t>მასალის მოწოდება და იატაკზე ცემენტის მოჭიმვa სისქით 40მმ</t>
  </si>
  <si>
    <t>მასალის მოწოდება და სახურავის კარნიზის მოწყობა ხის ფიცრებით 26მმ სისქით 1,0მ ლითონის კარკასზე</t>
  </si>
  <si>
    <t xml:space="preserve">Concreting of the  entrance wheelchair ramp with concrete M-300 (including the formwork) </t>
  </si>
  <si>
    <t>შესასვლელი პანდუსის დაბეტონება ბეტონით მ-300 (ყალიბის ჩათვლით)</t>
  </si>
  <si>
    <t>Concreting of the blind area with concrete M-300 d=15 cm'. 100cm width</t>
  </si>
  <si>
    <r>
      <t>შენობის გარშემო სარინელის მოწყობა ბეტონით</t>
    </r>
    <r>
      <rPr>
        <sz val="11"/>
        <rFont val="Arial"/>
        <family val="2"/>
      </rPr>
      <t xml:space="preserve"> M300 </t>
    </r>
    <r>
      <rPr>
        <sz val="11"/>
        <rFont val="AcadNusx"/>
        <family val="0"/>
      </rPr>
      <t xml:space="preserve">სისქით 15სმ სიგანით 100sm </t>
    </r>
  </si>
  <si>
    <t>Supply of materials &amp; fixing of wooden floor with planks 3,7cm on joists 5X5cm</t>
  </si>
  <si>
    <t>იატაკის მოწყობა ხის ფიცრებით 3,7სმ სისქით ხის კოჭებზე 5X5სმ</t>
  </si>
  <si>
    <r>
      <t xml:space="preserve">PLASTERING WORKS, </t>
    </r>
    <r>
      <rPr>
        <b/>
        <sz val="11"/>
        <rFont val="AcadNusx"/>
        <family val="0"/>
      </rPr>
      <t>ბათქაშის სამუშაოები</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</si>
</sst>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 _₾_-;\-* #,##0\ _₾_-;_-* &quot;-&quot;\ _₾_-;_-@_-"/>
    <numFmt numFmtId="175" formatCode="_-* #,##0.00\ _₾_-;\-* #,##0.00\ _₾_-;_-* &quot;-&quot;??\ _₾_-;_-@_-"/>
    <numFmt numFmtId="176" formatCode="0.0"/>
    <numFmt numFmtId="177" formatCode="#,##0.0"/>
    <numFmt numFmtId="178" formatCode="#,##0.00\ [$Lari-437]"/>
    <numFmt numFmtId="179" formatCode="_-* #,##0.0\ [$Lari-437]_-;\-* #,##0.0\ [$Lari-437]_-;_-* &quot;-&quot;?\ [$Lari-437]_-;_-@_-"/>
    <numFmt numFmtId="180" formatCode="_-* #,##0\ [$Lari-437]_-;\-* #,##0\ [$Lari-437]_-;_-* &quot;-&quot;\ [$Lari-437]_-;_-@_-"/>
    <numFmt numFmtId="181" formatCode="#,##0.00;[Red]#,##0.00"/>
    <numFmt numFmtId="182" formatCode="#,##0.00\ [$€-1];[Red]\-#,##0.00\ [$€-1]"/>
    <numFmt numFmtId="183" formatCode="_-* #,##0.00\ [$Lari-437]_-;\-* #,##0.00\ [$Lari-437]_-;_-* &quot;-&quot;\ [$Lari-437]_-;_-@_-"/>
    <numFmt numFmtId="184" formatCode="_-* #,##0.00\ [$DM-407]_-;\-* #,##0.00\ [$DM-407]_-;_-* &quot;-&quot;??\ [$DM-407]_-;_-@_-"/>
    <numFmt numFmtId="185" formatCode="_-* #,##0.00\ [$Lari-437]_-;\-* #,##0.00\ [$Lari-437]_-;_-* &quot;-&quot;??\ [$Lari-437]_-;_-@_-"/>
    <numFmt numFmtId="186" formatCode="0.00000000"/>
    <numFmt numFmtId="187" formatCode="0.0000000"/>
    <numFmt numFmtId="188" formatCode="0.000000"/>
    <numFmt numFmtId="189" formatCode="0.00000"/>
    <numFmt numFmtId="190" formatCode="0.0000"/>
    <numFmt numFmtId="191" formatCode="0.000"/>
    <numFmt numFmtId="192" formatCode="#,##0\ [$€-1]"/>
    <numFmt numFmtId="193" formatCode="&quot;$&quot;#,##0.00"/>
    <numFmt numFmtId="194" formatCode="#,##0.00\ &quot;₾&quot;"/>
    <numFmt numFmtId="195" formatCode="_-* #,##0.0\ &quot;₾&quot;_-;\-* #,##0.0\ &quot;₾&quot;_-;_-* &quot;-&quot;?\ &quot;₾&quot;_-;_-@_-"/>
    <numFmt numFmtId="196" formatCode="_-* #,##0.00\ [$Lari-437]_-;\-* #,##0.00\ [$Lari-437]_-;_-* &quot;-&quot;?\ [$Lari-437]_-;_-@_-"/>
    <numFmt numFmtId="197" formatCode="_(&quot;$&quot;* #,##0.0_);_(&quot;$&quot;* \(#,##0.0\);_(&quot;$&quot;* &quot;-&quot;?_);_(@_)"/>
  </numFmts>
  <fonts count="74">
    <font>
      <sz val="10"/>
      <name val="Arial"/>
      <family val="0"/>
    </font>
    <font>
      <b/>
      <sz val="10"/>
      <name val="Arial"/>
      <family val="2"/>
    </font>
    <font>
      <b/>
      <sz val="12"/>
      <name val="Arial"/>
      <family val="2"/>
    </font>
    <font>
      <b/>
      <sz val="14"/>
      <name val="Arial"/>
      <family val="2"/>
    </font>
    <font>
      <sz val="8"/>
      <name val="Arial"/>
      <family val="2"/>
    </font>
    <font>
      <sz val="11"/>
      <name val="Arial"/>
      <family val="2"/>
    </font>
    <font>
      <sz val="12"/>
      <name val="Arial"/>
      <family val="2"/>
    </font>
    <font>
      <b/>
      <sz val="13"/>
      <name val="Arial"/>
      <family val="2"/>
    </font>
    <font>
      <sz val="13"/>
      <name val="Arial"/>
      <family val="2"/>
    </font>
    <font>
      <b/>
      <sz val="16"/>
      <name val="Arial"/>
      <family val="2"/>
    </font>
    <font>
      <sz val="14"/>
      <name val="Arial"/>
      <family val="2"/>
    </font>
    <font>
      <sz val="16"/>
      <name val="Arial"/>
      <family val="2"/>
    </font>
    <font>
      <b/>
      <sz val="14"/>
      <name val="AcadNusx"/>
      <family val="0"/>
    </font>
    <font>
      <b/>
      <sz val="12"/>
      <name val="AcadNusx"/>
      <family val="0"/>
    </font>
    <font>
      <b/>
      <sz val="16"/>
      <name val="AcadNusx"/>
      <family val="0"/>
    </font>
    <font>
      <b/>
      <sz val="13"/>
      <name val="AcadNusx"/>
      <family val="0"/>
    </font>
    <font>
      <b/>
      <sz val="10"/>
      <name val="AcadNusx"/>
      <family val="0"/>
    </font>
    <font>
      <sz val="10"/>
      <name val="AcadNusx"/>
      <family val="0"/>
    </font>
    <font>
      <vertAlign val="superscript"/>
      <sz val="10"/>
      <name val="Arial"/>
      <family val="2"/>
    </font>
    <font>
      <sz val="12"/>
      <name val="AcadNusx"/>
      <family val="0"/>
    </font>
    <font>
      <b/>
      <sz val="11"/>
      <name val="AcadNusx"/>
      <family val="0"/>
    </font>
    <font>
      <sz val="11"/>
      <name val="Sylfaen"/>
      <family val="1"/>
    </font>
    <font>
      <b/>
      <sz val="11"/>
      <name val="Arial"/>
      <family val="2"/>
    </font>
    <font>
      <sz val="10"/>
      <color indexed="8"/>
      <name val="Arial"/>
      <family val="2"/>
    </font>
    <font>
      <vertAlign val="superscript"/>
      <sz val="10"/>
      <color indexed="8"/>
      <name val="Arial"/>
      <family val="2"/>
    </font>
    <font>
      <vertAlign val="superscript"/>
      <sz val="10"/>
      <name val="AcadNusx"/>
      <family val="0"/>
    </font>
    <font>
      <vertAlign val="superscript"/>
      <sz val="11"/>
      <name val="Arial"/>
      <family val="2"/>
    </font>
    <font>
      <sz val="11"/>
      <name val="AcadNusx"/>
      <family val="0"/>
    </font>
    <font>
      <vertAlign val="superscript"/>
      <sz val="11"/>
      <name val="AcadNusx"/>
      <family val="0"/>
    </font>
    <font>
      <i/>
      <sz val="11"/>
      <name val="Arial"/>
      <family val="2"/>
    </font>
    <font>
      <b/>
      <sz val="11"/>
      <color indexed="8"/>
      <name val="Arial"/>
      <family val="2"/>
    </font>
    <font>
      <sz val="9"/>
      <name val="Arial"/>
      <family val="2"/>
    </font>
    <font>
      <b/>
      <sz val="9"/>
      <name val="Arial"/>
      <family val="2"/>
    </font>
    <font>
      <sz val="8"/>
      <name val="AcadNusx"/>
      <family val="0"/>
    </font>
    <font>
      <b/>
      <sz val="8"/>
      <name val="Arial"/>
      <family val="2"/>
    </font>
    <font>
      <b/>
      <vertAlign val="superscript"/>
      <sz val="12"/>
      <name val="Arial"/>
      <family val="2"/>
    </font>
    <font>
      <b/>
      <vertAlign val="superscript"/>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
      <patternFill patternType="solid">
        <fgColor rgb="FFFFFF00"/>
        <bgColor indexed="64"/>
      </patternFill>
    </fill>
    <fill>
      <patternFill patternType="solid">
        <fgColor indexed="41"/>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indexed="45"/>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style="medium"/>
      <top style="medium"/>
      <bottom>
        <color indexed="63"/>
      </bottom>
    </border>
    <border>
      <left>
        <color indexed="63"/>
      </left>
      <right style="medium"/>
      <top>
        <color indexed="63"/>
      </top>
      <bottom style="medium"/>
    </border>
    <border>
      <left style="medium"/>
      <right style="medium"/>
      <top style="medium"/>
      <bottom style="medium"/>
    </border>
    <border>
      <left style="thin"/>
      <right style="thin"/>
      <top style="thin"/>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right/>
      <top/>
      <bottom style="double"/>
    </border>
    <border>
      <left/>
      <right/>
      <top style="double"/>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medium"/>
      <top>
        <color indexed="63"/>
      </top>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medium"/>
    </border>
    <border>
      <left style="medium"/>
      <right style="thin"/>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style="thin"/>
      <top style="thin"/>
      <bottom/>
    </border>
    <border>
      <left style="medium"/>
      <right style="thin"/>
      <top>
        <color indexed="63"/>
      </top>
      <bottom style="thin"/>
    </border>
    <border>
      <left style="thin"/>
      <right style="medium"/>
      <top style="thin"/>
      <bottom>
        <color indexed="63"/>
      </bottom>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88">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3" borderId="11" xfId="0" applyFill="1" applyBorder="1" applyAlignment="1">
      <alignment/>
    </xf>
    <xf numFmtId="0" fontId="4" fillId="33" borderId="11" xfId="0" applyFont="1" applyFill="1" applyBorder="1" applyAlignment="1">
      <alignment horizontal="center"/>
    </xf>
    <xf numFmtId="0" fontId="0" fillId="33" borderId="12" xfId="0" applyFill="1" applyBorder="1" applyAlignment="1">
      <alignment/>
    </xf>
    <xf numFmtId="0" fontId="3" fillId="0" borderId="0" xfId="0" applyFont="1" applyAlignment="1">
      <alignment horizontal="left"/>
    </xf>
    <xf numFmtId="0" fontId="0" fillId="34" borderId="0" xfId="0" applyFill="1" applyAlignment="1">
      <alignment/>
    </xf>
    <xf numFmtId="0" fontId="6" fillId="0" borderId="0" xfId="0" applyFont="1" applyAlignment="1">
      <alignment/>
    </xf>
    <xf numFmtId="0" fontId="6" fillId="35" borderId="13" xfId="0" applyFont="1" applyFill="1" applyBorder="1" applyAlignment="1">
      <alignment/>
    </xf>
    <xf numFmtId="0" fontId="6" fillId="35" borderId="14" xfId="0" applyFont="1" applyFill="1" applyBorder="1" applyAlignment="1">
      <alignment/>
    </xf>
    <xf numFmtId="0" fontId="6" fillId="0" borderId="0" xfId="0" applyFont="1" applyAlignment="1">
      <alignment horizontal="center"/>
    </xf>
    <xf numFmtId="0" fontId="2" fillId="35" borderId="10" xfId="0" applyFont="1" applyFill="1" applyBorder="1" applyAlignment="1">
      <alignment/>
    </xf>
    <xf numFmtId="0" fontId="5" fillId="0" borderId="0" xfId="0" applyFont="1" applyAlignment="1">
      <alignment horizontal="left"/>
    </xf>
    <xf numFmtId="0" fontId="8" fillId="0" borderId="0" xfId="0" applyFont="1" applyAlignment="1">
      <alignment/>
    </xf>
    <xf numFmtId="0" fontId="7" fillId="0" borderId="0" xfId="0" applyFont="1" applyAlignment="1">
      <alignment/>
    </xf>
    <xf numFmtId="0" fontId="8" fillId="0" borderId="15" xfId="0" applyFont="1" applyBorder="1" applyAlignment="1">
      <alignment wrapText="1"/>
    </xf>
    <xf numFmtId="0" fontId="10" fillId="0" borderId="0" xfId="0" applyFont="1" applyAlignment="1">
      <alignment/>
    </xf>
    <xf numFmtId="0" fontId="8" fillId="0" borderId="16" xfId="0" applyFont="1" applyBorder="1" applyAlignment="1">
      <alignment wrapText="1"/>
    </xf>
    <xf numFmtId="0" fontId="11" fillId="0" borderId="0" xfId="0" applyFont="1" applyAlignment="1">
      <alignment/>
    </xf>
    <xf numFmtId="0" fontId="8" fillId="0" borderId="0" xfId="0" applyFont="1" applyAlignment="1">
      <alignment vertical="center" wrapText="1"/>
    </xf>
    <xf numFmtId="0" fontId="8" fillId="0" borderId="17" xfId="0" applyFont="1" applyBorder="1" applyAlignment="1">
      <alignment wrapText="1"/>
    </xf>
    <xf numFmtId="0" fontId="6" fillId="0" borderId="0" xfId="0" applyFont="1" applyAlignment="1">
      <alignment horizontal="left"/>
    </xf>
    <xf numFmtId="178" fontId="0" fillId="19" borderId="18" xfId="0" applyNumberFormat="1" applyFill="1" applyBorder="1" applyAlignment="1">
      <alignment/>
    </xf>
    <xf numFmtId="0" fontId="1" fillId="0" borderId="11" xfId="0" applyFont="1" applyBorder="1" applyAlignment="1">
      <alignment horizontal="right"/>
    </xf>
    <xf numFmtId="178" fontId="0" fillId="0" borderId="12" xfId="0" applyNumberFormat="1" applyBorder="1" applyAlignment="1">
      <alignment/>
    </xf>
    <xf numFmtId="180" fontId="3" fillId="0" borderId="18" xfId="0" applyNumberFormat="1" applyFont="1" applyBorder="1" applyAlignment="1">
      <alignment horizontal="right"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3" fillId="35" borderId="14" xfId="0" applyFont="1" applyFill="1" applyBorder="1" applyAlignment="1">
      <alignment horizontal="center" wrapText="1"/>
    </xf>
    <xf numFmtId="0" fontId="12" fillId="35" borderId="17" xfId="0" applyFont="1" applyFill="1" applyBorder="1" applyAlignment="1">
      <alignment horizontal="center"/>
    </xf>
    <xf numFmtId="0" fontId="7" fillId="35" borderId="15" xfId="0" applyFont="1" applyFill="1" applyBorder="1" applyAlignment="1">
      <alignment horizontal="center" vertical="center" wrapText="1"/>
    </xf>
    <xf numFmtId="0" fontId="15" fillId="35" borderId="17" xfId="0" applyFont="1" applyFill="1" applyBorder="1" applyAlignment="1">
      <alignment horizontal="center" vertical="center" wrapText="1"/>
    </xf>
    <xf numFmtId="0" fontId="1" fillId="35" borderId="21"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19" fillId="0" borderId="23" xfId="0" applyFont="1" applyBorder="1" applyAlignment="1">
      <alignment wrapText="1"/>
    </xf>
    <xf numFmtId="0" fontId="6" fillId="0" borderId="24" xfId="0" applyFont="1" applyBorder="1" applyAlignment="1">
      <alignment horizontal="center"/>
    </xf>
    <xf numFmtId="0" fontId="17" fillId="0" borderId="20" xfId="0" applyFont="1" applyBorder="1" applyAlignment="1">
      <alignment horizontal="center" vertical="center" wrapText="1"/>
    </xf>
    <xf numFmtId="0" fontId="2" fillId="0" borderId="25" xfId="0" applyFont="1" applyBorder="1" applyAlignment="1">
      <alignment wrapText="1"/>
    </xf>
    <xf numFmtId="0" fontId="8" fillId="0" borderId="16" xfId="0" applyFont="1" applyBorder="1" applyAlignment="1">
      <alignment vertical="top" wrapText="1"/>
    </xf>
    <xf numFmtId="178" fontId="0" fillId="0" borderId="0" xfId="0" applyNumberFormat="1" applyAlignment="1">
      <alignment horizontal="center"/>
    </xf>
    <xf numFmtId="178" fontId="0" fillId="36" borderId="0" xfId="0" applyNumberFormat="1" applyFill="1" applyAlignment="1">
      <alignment horizontal="center"/>
    </xf>
    <xf numFmtId="0" fontId="0" fillId="0" borderId="26" xfId="0" applyBorder="1" applyAlignment="1">
      <alignment horizontal="center"/>
    </xf>
    <xf numFmtId="176" fontId="0" fillId="0" borderId="0" xfId="0" applyNumberFormat="1" applyAlignment="1">
      <alignment/>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xf>
    <xf numFmtId="0" fontId="0" fillId="0" borderId="27" xfId="0" applyFont="1" applyBorder="1" applyAlignment="1">
      <alignment horizontal="center" wrapText="1"/>
    </xf>
    <xf numFmtId="0" fontId="0" fillId="0" borderId="27" xfId="0" applyFont="1" applyBorder="1" applyAlignment="1">
      <alignment horizontal="center" vertical="center"/>
    </xf>
    <xf numFmtId="0" fontId="0" fillId="37" borderId="0" xfId="0" applyFill="1" applyAlignment="1">
      <alignment/>
    </xf>
    <xf numFmtId="0" fontId="0" fillId="0" borderId="0" xfId="55" applyFill="1">
      <alignment/>
      <protection/>
    </xf>
    <xf numFmtId="0" fontId="0" fillId="0" borderId="0" xfId="55" applyFill="1" applyBorder="1" applyAlignment="1">
      <alignment/>
      <protection/>
    </xf>
    <xf numFmtId="0" fontId="0" fillId="0" borderId="0" xfId="55" applyFill="1" applyAlignment="1">
      <alignment/>
      <protection/>
    </xf>
    <xf numFmtId="0" fontId="0" fillId="0" borderId="0" xfId="55" applyFill="1" applyAlignment="1">
      <alignment horizontal="center" vertical="center"/>
      <protection/>
    </xf>
    <xf numFmtId="0" fontId="0" fillId="0" borderId="0" xfId="55" applyFill="1" applyAlignment="1">
      <alignment vertical="top"/>
      <protection/>
    </xf>
    <xf numFmtId="0" fontId="0" fillId="0" borderId="0" xfId="55" applyFill="1" applyBorder="1">
      <alignment/>
      <protection/>
    </xf>
    <xf numFmtId="0" fontId="0" fillId="0" borderId="0" xfId="55" applyFill="1" applyBorder="1" applyAlignment="1">
      <alignment horizontal="center" vertical="center"/>
      <protection/>
    </xf>
    <xf numFmtId="0" fontId="0" fillId="0" borderId="0" xfId="55" applyFill="1" applyBorder="1" applyAlignment="1">
      <alignment vertical="top"/>
      <protection/>
    </xf>
    <xf numFmtId="181" fontId="0" fillId="0" borderId="0" xfId="55" applyNumberFormat="1" applyFill="1" applyBorder="1" applyAlignment="1">
      <alignment/>
      <protection/>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0" borderId="28" xfId="0" applyFont="1" applyFill="1" applyBorder="1" applyAlignment="1">
      <alignment horizontal="right" vertical="center" wrapText="1"/>
    </xf>
    <xf numFmtId="178" fontId="3"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29" xfId="0" applyFont="1" applyFill="1" applyBorder="1" applyAlignment="1">
      <alignment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2" fillId="0" borderId="28" xfId="0" applyFont="1" applyFill="1" applyBorder="1" applyAlignment="1">
      <alignment horizontal="left" vertical="center" wrapText="1"/>
    </xf>
    <xf numFmtId="0" fontId="0" fillId="0" borderId="0" xfId="0" applyFont="1" applyAlignment="1">
      <alignment/>
    </xf>
    <xf numFmtId="0" fontId="0" fillId="0" borderId="30" xfId="55" applyFont="1" applyFill="1" applyBorder="1" applyAlignment="1">
      <alignment horizontal="center" vertical="center" wrapText="1"/>
      <protection/>
    </xf>
    <xf numFmtId="0" fontId="0" fillId="0" borderId="31" xfId="55" applyFont="1" applyFill="1" applyBorder="1" applyAlignment="1">
      <alignment horizontal="center" vertical="center" wrapText="1"/>
      <protection/>
    </xf>
    <xf numFmtId="49" fontId="0" fillId="0" borderId="31" xfId="55" applyNumberFormat="1"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184" fontId="0" fillId="0" borderId="0" xfId="0" applyNumberFormat="1" applyFont="1" applyAlignment="1">
      <alignment/>
    </xf>
    <xf numFmtId="2" fontId="0" fillId="0" borderId="0" xfId="0" applyNumberFormat="1" applyFont="1" applyAlignment="1">
      <alignment/>
    </xf>
    <xf numFmtId="2" fontId="0" fillId="0" borderId="0" xfId="0" applyNumberFormat="1" applyFont="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2" fillId="0" borderId="28" xfId="0" applyFont="1" applyFill="1" applyBorder="1" applyAlignment="1">
      <alignment vertical="center" wrapText="1"/>
    </xf>
    <xf numFmtId="0" fontId="21" fillId="0" borderId="0" xfId="0" applyFont="1" applyAlignment="1">
      <alignment horizontal="left" indent="6"/>
    </xf>
    <xf numFmtId="184" fontId="0" fillId="0" borderId="0" xfId="0" applyNumberFormat="1" applyFont="1" applyBorder="1" applyAlignment="1">
      <alignment/>
    </xf>
    <xf numFmtId="2" fontId="0" fillId="0" borderId="0" xfId="0" applyNumberFormat="1" applyFont="1" applyBorder="1" applyAlignment="1">
      <alignment/>
    </xf>
    <xf numFmtId="0" fontId="21" fillId="0" borderId="0" xfId="0" applyFont="1" applyAlignment="1">
      <alignment/>
    </xf>
    <xf numFmtId="184" fontId="0" fillId="0" borderId="24" xfId="0" applyNumberFormat="1" applyFont="1" applyBorder="1" applyAlignment="1">
      <alignment/>
    </xf>
    <xf numFmtId="4" fontId="2" fillId="38" borderId="27" xfId="0" applyNumberFormat="1" applyFont="1" applyFill="1" applyBorder="1" applyAlignment="1" applyProtection="1">
      <alignment horizontal="right" vertical="center"/>
      <protection hidden="1"/>
    </xf>
    <xf numFmtId="0" fontId="0" fillId="0" borderId="20" xfId="0" applyFont="1" applyBorder="1" applyAlignment="1" applyProtection="1">
      <alignment horizontal="center" vertical="center" wrapText="1"/>
      <protection hidden="1"/>
    </xf>
    <xf numFmtId="0" fontId="0" fillId="0" borderId="27" xfId="0" applyFont="1" applyFill="1" applyBorder="1" applyAlignment="1" applyProtection="1">
      <alignment horizontal="justify" vertical="top" wrapText="1"/>
      <protection hidden="1"/>
    </xf>
    <xf numFmtId="0" fontId="0" fillId="0" borderId="19" xfId="0" applyFont="1" applyBorder="1" applyAlignment="1" applyProtection="1">
      <alignment horizontal="center" vertical="center" wrapText="1"/>
      <protection hidden="1"/>
    </xf>
    <xf numFmtId="0" fontId="0" fillId="0" borderId="27" xfId="0" applyFont="1" applyFill="1" applyBorder="1" applyAlignment="1" applyProtection="1">
      <alignment horizontal="justify" vertical="center" wrapText="1"/>
      <protection hidden="1"/>
    </xf>
    <xf numFmtId="183" fontId="22" fillId="0" borderId="21" xfId="0" applyNumberFormat="1" applyFont="1" applyFill="1" applyBorder="1" applyAlignment="1" applyProtection="1">
      <alignment vertical="center"/>
      <protection hidden="1"/>
    </xf>
    <xf numFmtId="0" fontId="0" fillId="0" borderId="27" xfId="0" applyFont="1" applyFill="1" applyBorder="1" applyAlignment="1" applyProtection="1">
      <alignment horizontal="center" vertical="center" wrapText="1"/>
      <protection hidden="1"/>
    </xf>
    <xf numFmtId="0" fontId="0" fillId="0" borderId="20" xfId="0" applyFont="1" applyFill="1" applyBorder="1" applyAlignment="1" applyProtection="1">
      <alignment horizontal="center" vertical="center"/>
      <protection hidden="1"/>
    </xf>
    <xf numFmtId="0" fontId="6" fillId="0" borderId="0" xfId="0" applyFont="1" applyFill="1" applyAlignment="1">
      <alignment/>
    </xf>
    <xf numFmtId="0" fontId="0" fillId="0" borderId="20" xfId="0" applyFont="1" applyFill="1" applyBorder="1" applyAlignment="1" applyProtection="1">
      <alignment horizontal="justify" vertical="top" wrapText="1"/>
      <protection hidden="1"/>
    </xf>
    <xf numFmtId="0" fontId="2" fillId="0" borderId="27" xfId="0" applyFont="1" applyFill="1" applyBorder="1" applyAlignment="1" applyProtection="1">
      <alignment horizontal="center" vertical="top"/>
      <protection hidden="1"/>
    </xf>
    <xf numFmtId="4" fontId="2" fillId="38" borderId="19" xfId="0" applyNumberFormat="1" applyFont="1" applyFill="1" applyBorder="1" applyAlignment="1" applyProtection="1">
      <alignment horizontal="right" vertical="center"/>
      <protection hidden="1"/>
    </xf>
    <xf numFmtId="0" fontId="0" fillId="0" borderId="27" xfId="0" applyFont="1" applyFill="1" applyBorder="1" applyAlignment="1" applyProtection="1">
      <alignment horizontal="center" vertical="center"/>
      <protection hidden="1"/>
    </xf>
    <xf numFmtId="0" fontId="23" fillId="0" borderId="27" xfId="0" applyFont="1" applyFill="1" applyBorder="1" applyAlignment="1" applyProtection="1">
      <alignment horizontal="justify" vertical="top" wrapText="1"/>
      <protection hidden="1"/>
    </xf>
    <xf numFmtId="0" fontId="23" fillId="0" borderId="27" xfId="0" applyFont="1" applyFill="1" applyBorder="1" applyAlignment="1" applyProtection="1">
      <alignment horizontal="left" vertical="top" wrapText="1"/>
      <protection hidden="1"/>
    </xf>
    <xf numFmtId="0" fontId="23" fillId="0" borderId="20" xfId="0" applyFont="1" applyFill="1" applyBorder="1" applyAlignment="1" applyProtection="1">
      <alignment horizontal="justify" vertical="top" wrapText="1"/>
      <protection hidden="1"/>
    </xf>
    <xf numFmtId="0" fontId="2" fillId="0" borderId="20" xfId="0" applyFont="1" applyFill="1" applyBorder="1" applyAlignment="1" applyProtection="1">
      <alignment horizontal="center"/>
      <protection hidden="1"/>
    </xf>
    <xf numFmtId="0" fontId="0" fillId="0" borderId="27" xfId="0" applyFont="1" applyBorder="1" applyAlignment="1" applyProtection="1">
      <alignment horizontal="center" vertical="center" wrapText="1"/>
      <protection hidden="1"/>
    </xf>
    <xf numFmtId="0" fontId="0" fillId="0" borderId="33" xfId="0" applyFont="1" applyBorder="1" applyAlignment="1">
      <alignment horizontal="center" vertical="center" wrapText="1"/>
    </xf>
    <xf numFmtId="2" fontId="0" fillId="0" borderId="26" xfId="0" applyNumberFormat="1" applyFont="1" applyBorder="1" applyAlignment="1">
      <alignment horizontal="center" vertical="center" wrapText="1"/>
    </xf>
    <xf numFmtId="0" fontId="2" fillId="39" borderId="34" xfId="0" applyFont="1" applyFill="1" applyBorder="1" applyAlignment="1" applyProtection="1">
      <alignment horizontal="center" vertical="top"/>
      <protection hidden="1"/>
    </xf>
    <xf numFmtId="4" fontId="2" fillId="38" borderId="35" xfId="0" applyNumberFormat="1" applyFont="1" applyFill="1" applyBorder="1" applyAlignment="1" applyProtection="1">
      <alignment horizontal="right" vertical="center"/>
      <protection hidden="1"/>
    </xf>
    <xf numFmtId="0" fontId="6" fillId="0" borderId="25" xfId="0" applyFont="1" applyBorder="1" applyAlignment="1">
      <alignment/>
    </xf>
    <xf numFmtId="4" fontId="2" fillId="38" borderId="36" xfId="0" applyNumberFormat="1" applyFont="1" applyFill="1" applyBorder="1" applyAlignment="1" applyProtection="1">
      <alignment horizontal="right" vertical="center"/>
      <protection hidden="1"/>
    </xf>
    <xf numFmtId="0" fontId="2" fillId="39" borderId="27" xfId="0" applyFont="1" applyFill="1" applyBorder="1" applyAlignment="1" applyProtection="1">
      <alignment horizontal="center" vertical="top"/>
      <protection hidden="1"/>
    </xf>
    <xf numFmtId="0" fontId="1" fillId="35" borderId="13" xfId="55" applyFont="1" applyFill="1" applyBorder="1" applyAlignment="1">
      <alignment vertical="center"/>
      <protection/>
    </xf>
    <xf numFmtId="0" fontId="1" fillId="35" borderId="24" xfId="55" applyFont="1" applyFill="1" applyBorder="1" applyAlignment="1">
      <alignment vertical="center"/>
      <protection/>
    </xf>
    <xf numFmtId="0" fontId="19" fillId="0" borderId="24" xfId="0" applyFont="1" applyBorder="1" applyAlignment="1">
      <alignment wrapText="1"/>
    </xf>
    <xf numFmtId="0" fontId="17" fillId="0" borderId="0" xfId="0" applyFont="1" applyAlignment="1">
      <alignment horizontal="center" vertical="center" wrapText="1"/>
    </xf>
    <xf numFmtId="0" fontId="2" fillId="35" borderId="14" xfId="0" applyFont="1" applyFill="1" applyBorder="1" applyAlignment="1">
      <alignment horizontal="center" vertical="center" wrapText="1"/>
    </xf>
    <xf numFmtId="0" fontId="0" fillId="40" borderId="27" xfId="0" applyFont="1" applyFill="1" applyBorder="1" applyAlignment="1" applyProtection="1">
      <alignment horizontal="justify" vertical="top" wrapText="1"/>
      <protection hidden="1"/>
    </xf>
    <xf numFmtId="0" fontId="5" fillId="0" borderId="0" xfId="0" applyFont="1" applyAlignment="1">
      <alignment/>
    </xf>
    <xf numFmtId="0" fontId="5" fillId="0" borderId="0" xfId="0" applyFont="1" applyAlignment="1">
      <alignment horizontal="center"/>
    </xf>
    <xf numFmtId="0" fontId="22" fillId="0" borderId="0" xfId="0" applyFont="1" applyAlignment="1">
      <alignment horizontal="center"/>
    </xf>
    <xf numFmtId="0" fontId="22" fillId="0" borderId="0" xfId="0" applyFont="1" applyAlignment="1">
      <alignment horizontal="left"/>
    </xf>
    <xf numFmtId="0" fontId="5" fillId="0" borderId="0" xfId="0" applyFont="1" applyAlignment="1">
      <alignment/>
    </xf>
    <xf numFmtId="0" fontId="22" fillId="0" borderId="0" xfId="0" applyFont="1" applyAlignment="1">
      <alignment/>
    </xf>
    <xf numFmtId="0" fontId="5" fillId="34" borderId="0" xfId="0" applyFont="1" applyFill="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11" xfId="0" applyFont="1" applyFill="1" applyBorder="1" applyAlignment="1">
      <alignment horizontal="center"/>
    </xf>
    <xf numFmtId="0" fontId="5" fillId="33" borderId="12" xfId="0" applyFont="1" applyFill="1" applyBorder="1" applyAlignment="1">
      <alignment/>
    </xf>
    <xf numFmtId="0" fontId="5" fillId="35" borderId="13" xfId="0" applyFont="1" applyFill="1" applyBorder="1" applyAlignment="1">
      <alignment/>
    </xf>
    <xf numFmtId="0" fontId="22" fillId="35" borderId="15" xfId="0" applyFont="1" applyFill="1" applyBorder="1" applyAlignment="1">
      <alignment horizontal="center" vertical="center" wrapText="1"/>
    </xf>
    <xf numFmtId="0" fontId="22" fillId="35" borderId="21" xfId="0" applyFont="1" applyFill="1" applyBorder="1" applyAlignment="1">
      <alignment horizontal="center" vertical="center" wrapText="1"/>
    </xf>
    <xf numFmtId="0" fontId="5" fillId="35" borderId="14" xfId="0" applyFont="1" applyFill="1" applyBorder="1" applyAlignment="1">
      <alignment/>
    </xf>
    <xf numFmtId="0" fontId="20" fillId="35" borderId="17" xfId="0" applyFont="1" applyFill="1" applyBorder="1" applyAlignment="1">
      <alignment horizontal="center" vertical="center" wrapText="1"/>
    </xf>
    <xf numFmtId="0" fontId="20" fillId="35" borderId="22" xfId="0" applyFont="1" applyFill="1" applyBorder="1" applyAlignment="1">
      <alignment horizontal="center" vertical="center" wrapText="1"/>
    </xf>
    <xf numFmtId="0" fontId="5" fillId="0" borderId="0" xfId="0" applyFont="1" applyAlignment="1">
      <alignment horizontal="center"/>
    </xf>
    <xf numFmtId="0" fontId="22" fillId="35" borderId="10" xfId="0" applyFont="1" applyFill="1" applyBorder="1" applyAlignment="1">
      <alignment horizontal="center"/>
    </xf>
    <xf numFmtId="0" fontId="5" fillId="0" borderId="15" xfId="0" applyFont="1" applyBorder="1" applyAlignment="1">
      <alignment wrapText="1"/>
    </xf>
    <xf numFmtId="0" fontId="5" fillId="0" borderId="19" xfId="0" applyFont="1" applyBorder="1" applyAlignment="1">
      <alignment horizontal="center" wrapText="1"/>
    </xf>
    <xf numFmtId="0" fontId="5" fillId="0" borderId="26" xfId="0" applyFont="1" applyBorder="1" applyAlignment="1">
      <alignment horizontal="center"/>
    </xf>
    <xf numFmtId="0" fontId="5" fillId="0" borderId="17" xfId="0" applyFont="1" applyBorder="1" applyAlignment="1">
      <alignment wrapText="1"/>
    </xf>
    <xf numFmtId="0" fontId="5" fillId="0" borderId="20" xfId="0" applyFont="1" applyBorder="1" applyAlignment="1">
      <alignment horizontal="center" wrapText="1"/>
    </xf>
    <xf numFmtId="0" fontId="5"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5" fillId="0" borderId="15" xfId="0" applyFont="1" applyBorder="1" applyAlignment="1">
      <alignment horizontal="left" wrapText="1"/>
    </xf>
    <xf numFmtId="0" fontId="22" fillId="0" borderId="11" xfId="0" applyFont="1" applyBorder="1" applyAlignment="1">
      <alignment horizontal="right"/>
    </xf>
    <xf numFmtId="178" fontId="5" fillId="19" borderId="18" xfId="0" applyNumberFormat="1" applyFont="1" applyFill="1" applyBorder="1" applyAlignment="1">
      <alignment/>
    </xf>
    <xf numFmtId="0" fontId="22" fillId="34" borderId="0" xfId="0" applyFont="1" applyFill="1" applyAlignment="1">
      <alignment/>
    </xf>
    <xf numFmtId="0" fontId="5" fillId="0" borderId="16" xfId="0" applyFont="1" applyBorder="1" applyAlignment="1">
      <alignment wrapText="1"/>
    </xf>
    <xf numFmtId="0" fontId="27" fillId="0" borderId="23" xfId="0" applyFont="1" applyBorder="1" applyAlignment="1">
      <alignment wrapText="1"/>
    </xf>
    <xf numFmtId="0" fontId="5" fillId="0" borderId="20" xfId="0" applyFont="1" applyBorder="1" applyAlignment="1">
      <alignment horizontal="center" vertical="center" wrapText="1"/>
    </xf>
    <xf numFmtId="0" fontId="5" fillId="0" borderId="0" xfId="0" applyFont="1" applyAlignment="1">
      <alignment vertical="center" wrapText="1"/>
    </xf>
    <xf numFmtId="0" fontId="22" fillId="0" borderId="0" xfId="0" applyFont="1" applyAlignment="1">
      <alignment wrapText="1"/>
    </xf>
    <xf numFmtId="0" fontId="22" fillId="0" borderId="0" xfId="0" applyFont="1" applyAlignment="1">
      <alignment horizontal="right"/>
    </xf>
    <xf numFmtId="177" fontId="22" fillId="0" borderId="0" xfId="0" applyNumberFormat="1" applyFont="1" applyAlignment="1">
      <alignment/>
    </xf>
    <xf numFmtId="0" fontId="5" fillId="0" borderId="19" xfId="0" applyFont="1" applyBorder="1" applyAlignment="1">
      <alignment wrapText="1"/>
    </xf>
    <xf numFmtId="0" fontId="5" fillId="0" borderId="26" xfId="0" applyFont="1" applyBorder="1" applyAlignment="1">
      <alignment horizontal="center"/>
    </xf>
    <xf numFmtId="0" fontId="27" fillId="0" borderId="26" xfId="0" applyFont="1" applyBorder="1" applyAlignment="1">
      <alignment wrapText="1"/>
    </xf>
    <xf numFmtId="0" fontId="22" fillId="0" borderId="37" xfId="0" applyFont="1" applyBorder="1" applyAlignment="1">
      <alignment/>
    </xf>
    <xf numFmtId="0" fontId="22" fillId="0" borderId="27" xfId="0" applyFont="1" applyBorder="1" applyAlignment="1">
      <alignment/>
    </xf>
    <xf numFmtId="178" fontId="5" fillId="0" borderId="27" xfId="0" applyNumberFormat="1" applyFont="1" applyBorder="1" applyAlignment="1">
      <alignment/>
    </xf>
    <xf numFmtId="178" fontId="5" fillId="36" borderId="27" xfId="0" applyNumberFormat="1" applyFont="1" applyFill="1" applyBorder="1" applyAlignment="1">
      <alignment/>
    </xf>
    <xf numFmtId="0" fontId="5" fillId="0" borderId="20" xfId="0" applyFont="1" applyBorder="1" applyAlignment="1">
      <alignment horizontal="center"/>
    </xf>
    <xf numFmtId="0" fontId="22" fillId="0" borderId="38" xfId="0" applyFont="1" applyBorder="1" applyAlignment="1">
      <alignment/>
    </xf>
    <xf numFmtId="2" fontId="22" fillId="0" borderId="27" xfId="0" applyNumberFormat="1" applyFont="1" applyBorder="1" applyAlignment="1">
      <alignment/>
    </xf>
    <xf numFmtId="0" fontId="22" fillId="0" borderId="24" xfId="0" applyFont="1" applyBorder="1" applyAlignment="1">
      <alignment horizontal="right"/>
    </xf>
    <xf numFmtId="178" fontId="5" fillId="0" borderId="24" xfId="0" applyNumberFormat="1" applyFont="1" applyBorder="1" applyAlignment="1">
      <alignment/>
    </xf>
    <xf numFmtId="0" fontId="5" fillId="0" borderId="24" xfId="0" applyFont="1" applyBorder="1" applyAlignment="1">
      <alignment horizontal="center"/>
    </xf>
    <xf numFmtId="0" fontId="22" fillId="0" borderId="24" xfId="0" applyFont="1" applyBorder="1" applyAlignment="1">
      <alignment wrapText="1"/>
    </xf>
    <xf numFmtId="0" fontId="5" fillId="0" borderId="0" xfId="0" applyFont="1" applyAlignment="1">
      <alignment wrapText="1"/>
    </xf>
    <xf numFmtId="178" fontId="5" fillId="0" borderId="12" xfId="0" applyNumberFormat="1" applyFont="1" applyBorder="1" applyAlignment="1">
      <alignment/>
    </xf>
    <xf numFmtId="0" fontId="5" fillId="0" borderId="0" xfId="0" applyFont="1" applyAlignment="1">
      <alignment horizontal="center" vertical="top"/>
    </xf>
    <xf numFmtId="0" fontId="5" fillId="0" borderId="16" xfId="0" applyFont="1" applyBorder="1" applyAlignment="1">
      <alignment vertical="top" wrapText="1"/>
    </xf>
    <xf numFmtId="0" fontId="27" fillId="0" borderId="0" xfId="0" applyFont="1" applyAlignment="1">
      <alignment wrapText="1"/>
    </xf>
    <xf numFmtId="0" fontId="5" fillId="0" borderId="0" xfId="0" applyFont="1" applyAlignment="1">
      <alignment horizontal="center" vertical="center" wrapText="1"/>
    </xf>
    <xf numFmtId="178" fontId="5" fillId="0" borderId="0" xfId="0" applyNumberFormat="1" applyFont="1" applyAlignment="1">
      <alignment horizontal="center"/>
    </xf>
    <xf numFmtId="178" fontId="5" fillId="36" borderId="0" xfId="0" applyNumberFormat="1" applyFont="1" applyFill="1" applyAlignment="1">
      <alignment horizontal="center"/>
    </xf>
    <xf numFmtId="0" fontId="22" fillId="35" borderId="10" xfId="0" applyFont="1" applyFill="1" applyBorder="1" applyAlignment="1">
      <alignment/>
    </xf>
    <xf numFmtId="0" fontId="22" fillId="35" borderId="39" xfId="0" applyFont="1" applyFill="1" applyBorder="1" applyAlignment="1">
      <alignment/>
    </xf>
    <xf numFmtId="0" fontId="5" fillId="35" borderId="11" xfId="0" applyFont="1" applyFill="1" applyBorder="1" applyAlignment="1">
      <alignment/>
    </xf>
    <xf numFmtId="0" fontId="5" fillId="35" borderId="11" xfId="0" applyFont="1" applyFill="1" applyBorder="1" applyAlignment="1">
      <alignment horizontal="center"/>
    </xf>
    <xf numFmtId="0" fontId="5" fillId="35" borderId="12" xfId="0" applyFont="1" applyFill="1" applyBorder="1" applyAlignment="1">
      <alignment/>
    </xf>
    <xf numFmtId="0" fontId="5" fillId="0" borderId="40" xfId="0" applyFont="1" applyBorder="1" applyAlignment="1">
      <alignment horizontal="center"/>
    </xf>
    <xf numFmtId="0" fontId="27" fillId="0" borderId="33" xfId="0" applyFont="1" applyBorder="1" applyAlignment="1">
      <alignment wrapText="1"/>
    </xf>
    <xf numFmtId="0" fontId="27" fillId="0" borderId="26" xfId="0" applyFont="1" applyBorder="1" applyAlignment="1">
      <alignment horizontal="center" vertical="center" wrapText="1"/>
    </xf>
    <xf numFmtId="178" fontId="5" fillId="0" borderId="26" xfId="0" applyNumberFormat="1" applyFont="1" applyBorder="1" applyAlignment="1">
      <alignment horizontal="center"/>
    </xf>
    <xf numFmtId="178" fontId="5" fillId="36" borderId="26" xfId="0" applyNumberFormat="1" applyFont="1" applyFill="1" applyBorder="1" applyAlignment="1">
      <alignment horizontal="center"/>
    </xf>
    <xf numFmtId="0" fontId="5" fillId="0" borderId="16" xfId="0" applyFont="1" applyBorder="1" applyAlignment="1" applyProtection="1">
      <alignment wrapText="1"/>
      <protection hidden="1"/>
    </xf>
    <xf numFmtId="0" fontId="27" fillId="0" borderId="23" xfId="0" applyFont="1" applyBorder="1" applyAlignment="1" applyProtection="1">
      <alignment wrapText="1"/>
      <protection hidden="1"/>
    </xf>
    <xf numFmtId="0" fontId="5" fillId="0" borderId="24" xfId="0" applyFont="1" applyBorder="1" applyAlignment="1">
      <alignment/>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Alignment="1">
      <alignment vertical="center"/>
    </xf>
    <xf numFmtId="0" fontId="5" fillId="0" borderId="40" xfId="0" applyFont="1" applyBorder="1" applyAlignment="1">
      <alignment/>
    </xf>
    <xf numFmtId="0" fontId="5" fillId="0" borderId="0" xfId="0" applyFont="1" applyBorder="1" applyAlignment="1">
      <alignment wrapText="1"/>
    </xf>
    <xf numFmtId="0" fontId="5" fillId="0" borderId="0" xfId="0" applyFont="1" applyBorder="1" applyAlignment="1">
      <alignment/>
    </xf>
    <xf numFmtId="0" fontId="5" fillId="0" borderId="0" xfId="0" applyFont="1" applyBorder="1" applyAlignment="1">
      <alignment/>
    </xf>
    <xf numFmtId="0" fontId="29" fillId="0" borderId="0" xfId="0" applyFont="1" applyAlignment="1">
      <alignment/>
    </xf>
    <xf numFmtId="0" fontId="5" fillId="41" borderId="16" xfId="0" applyFont="1" applyFill="1" applyBorder="1" applyAlignment="1">
      <alignment wrapText="1"/>
    </xf>
    <xf numFmtId="0" fontId="5" fillId="0" borderId="19" xfId="0" applyFont="1" applyBorder="1" applyAlignment="1">
      <alignment vertical="center" wrapText="1"/>
    </xf>
    <xf numFmtId="0" fontId="27" fillId="41" borderId="23" xfId="0" applyFont="1" applyFill="1" applyBorder="1" applyAlignment="1">
      <alignment wrapText="1"/>
    </xf>
    <xf numFmtId="0" fontId="27" fillId="0" borderId="0" xfId="0" applyFont="1" applyAlignment="1">
      <alignment vertical="center" wrapText="1"/>
    </xf>
    <xf numFmtId="0" fontId="73" fillId="40" borderId="16" xfId="0" applyFont="1" applyFill="1" applyBorder="1" applyAlignment="1">
      <alignment wrapText="1"/>
    </xf>
    <xf numFmtId="0" fontId="27" fillId="0" borderId="23" xfId="0" applyFont="1" applyFill="1" applyBorder="1" applyAlignment="1">
      <alignment wrapText="1"/>
    </xf>
    <xf numFmtId="0" fontId="5" fillId="40" borderId="16" xfId="0" applyFont="1" applyFill="1" applyBorder="1" applyAlignment="1">
      <alignment wrapText="1"/>
    </xf>
    <xf numFmtId="178" fontId="5" fillId="0" borderId="12" xfId="0" applyNumberFormat="1" applyFont="1" applyFill="1" applyBorder="1" applyAlignment="1">
      <alignment/>
    </xf>
    <xf numFmtId="0" fontId="27" fillId="0" borderId="20" xfId="0" applyFont="1" applyBorder="1" applyAlignment="1">
      <alignment horizontal="center" vertical="top" wrapText="1"/>
    </xf>
    <xf numFmtId="0" fontId="22" fillId="34" borderId="41" xfId="0" applyFont="1" applyFill="1" applyBorder="1" applyAlignment="1">
      <alignment vertical="center"/>
    </xf>
    <xf numFmtId="0" fontId="22" fillId="34" borderId="42" xfId="0" applyFont="1" applyFill="1" applyBorder="1" applyAlignment="1">
      <alignment horizontal="left" vertical="center" wrapText="1"/>
    </xf>
    <xf numFmtId="0" fontId="22" fillId="34" borderId="34" xfId="0" applyFont="1" applyFill="1" applyBorder="1" applyAlignment="1">
      <alignment vertical="center"/>
    </xf>
    <xf numFmtId="0" fontId="22" fillId="34" borderId="43" xfId="0" applyFont="1" applyFill="1" applyBorder="1" applyAlignment="1">
      <alignment horizontal="left" vertical="center" wrapText="1"/>
    </xf>
    <xf numFmtId="0" fontId="22" fillId="34" borderId="44" xfId="0" applyFont="1" applyFill="1" applyBorder="1" applyAlignment="1">
      <alignment vertical="center"/>
    </xf>
    <xf numFmtId="0" fontId="22" fillId="34" borderId="36" xfId="0" applyFont="1" applyFill="1" applyBorder="1" applyAlignment="1">
      <alignment horizontal="left" vertical="center" wrapText="1"/>
    </xf>
    <xf numFmtId="3" fontId="5" fillId="0" borderId="0" xfId="0" applyNumberFormat="1" applyFont="1" applyAlignment="1">
      <alignment/>
    </xf>
    <xf numFmtId="179" fontId="22" fillId="42" borderId="18" xfId="0" applyNumberFormat="1" applyFont="1" applyFill="1" applyBorder="1" applyAlignment="1">
      <alignment horizontal="right"/>
    </xf>
    <xf numFmtId="180" fontId="22" fillId="0" borderId="18" xfId="0" applyNumberFormat="1" applyFont="1" applyBorder="1" applyAlignment="1">
      <alignment horizontal="right" vertical="center"/>
    </xf>
    <xf numFmtId="0" fontId="22" fillId="35" borderId="21" xfId="0" applyFont="1" applyFill="1" applyBorder="1" applyAlignment="1">
      <alignment vertical="top" wrapText="1"/>
    </xf>
    <xf numFmtId="0" fontId="22" fillId="35" borderId="21" xfId="0" applyFont="1" applyFill="1" applyBorder="1" applyAlignment="1">
      <alignment horizontal="center" vertical="top" wrapText="1"/>
    </xf>
    <xf numFmtId="0" fontId="6" fillId="0" borderId="0" xfId="0" applyFont="1" applyAlignment="1">
      <alignment/>
    </xf>
    <xf numFmtId="0" fontId="13" fillId="35" borderId="17" xfId="0"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34" borderId="0" xfId="0" applyFont="1" applyFill="1" applyAlignment="1">
      <alignment/>
    </xf>
    <xf numFmtId="0" fontId="10" fillId="0" borderId="0" xfId="55" applyFont="1" applyFill="1">
      <alignment/>
      <protection/>
    </xf>
    <xf numFmtId="0" fontId="31" fillId="0" borderId="0" xfId="55" applyFont="1" applyFill="1" applyAlignment="1">
      <alignment vertical="top" wrapText="1"/>
      <protection/>
    </xf>
    <xf numFmtId="0" fontId="4" fillId="0" borderId="27" xfId="55" applyFont="1" applyFill="1" applyBorder="1" applyAlignment="1">
      <alignment vertical="center" wrapText="1"/>
      <protection/>
    </xf>
    <xf numFmtId="0" fontId="4" fillId="0" borderId="0" xfId="55" applyFont="1" applyFill="1" applyAlignment="1">
      <alignment vertical="top" wrapText="1"/>
      <protection/>
    </xf>
    <xf numFmtId="0" fontId="4" fillId="0" borderId="0" xfId="55" applyFont="1" applyFill="1">
      <alignment/>
      <protection/>
    </xf>
    <xf numFmtId="0" fontId="4" fillId="0" borderId="0" xfId="55" applyFont="1" applyFill="1" applyBorder="1" applyAlignment="1">
      <alignment horizontal="center" vertical="center" wrapText="1"/>
      <protection/>
    </xf>
    <xf numFmtId="0" fontId="4" fillId="0" borderId="0" xfId="55" applyFont="1" applyBorder="1" applyAlignment="1">
      <alignment vertical="top" wrapText="1"/>
      <protection/>
    </xf>
    <xf numFmtId="181" fontId="4" fillId="0" borderId="0" xfId="55" applyNumberFormat="1" applyFont="1" applyFill="1" applyBorder="1" applyAlignment="1">
      <alignment horizontal="center" vertical="center"/>
      <protection/>
    </xf>
    <xf numFmtId="0" fontId="4" fillId="0" borderId="37" xfId="55" applyFont="1" applyFill="1" applyBorder="1" applyAlignment="1">
      <alignment vertical="center"/>
      <protection/>
    </xf>
    <xf numFmtId="183" fontId="4" fillId="0" borderId="20" xfId="0" applyNumberFormat="1" applyFont="1" applyBorder="1" applyAlignment="1">
      <alignment horizontal="right" vertical="center"/>
    </xf>
    <xf numFmtId="181" fontId="34" fillId="0" borderId="0" xfId="55" applyNumberFormat="1" applyFont="1" applyFill="1" applyBorder="1" applyAlignment="1">
      <alignment horizontal="right" vertical="center" wrapText="1"/>
      <protection/>
    </xf>
    <xf numFmtId="0" fontId="4" fillId="0" borderId="0" xfId="55" applyFont="1" applyFill="1" applyAlignment="1">
      <alignment horizontal="center" vertical="center"/>
      <protection/>
    </xf>
    <xf numFmtId="0" fontId="4" fillId="0" borderId="0" xfId="55" applyFont="1" applyFill="1" applyBorder="1" applyAlignment="1">
      <alignment horizontal="left" wrapText="1"/>
      <protection/>
    </xf>
    <xf numFmtId="0" fontId="4" fillId="0" borderId="0" xfId="55" applyFont="1" applyFill="1" applyBorder="1" applyAlignment="1">
      <alignment/>
      <protection/>
    </xf>
    <xf numFmtId="0" fontId="4" fillId="0" borderId="0" xfId="0" applyFont="1" applyAlignment="1">
      <alignment/>
    </xf>
    <xf numFmtId="0" fontId="4" fillId="0" borderId="0" xfId="55" applyFont="1" applyFill="1" applyBorder="1" applyAlignment="1">
      <alignment vertical="center"/>
      <protection/>
    </xf>
    <xf numFmtId="183" fontId="4" fillId="0" borderId="0" xfId="0" applyNumberFormat="1" applyFont="1" applyBorder="1" applyAlignment="1">
      <alignment horizontal="right" vertical="center"/>
    </xf>
    <xf numFmtId="0" fontId="4" fillId="0" borderId="0" xfId="0" applyFont="1" applyAlignment="1">
      <alignment/>
    </xf>
    <xf numFmtId="0" fontId="4" fillId="0" borderId="28"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8" xfId="0" applyFont="1" applyFill="1" applyBorder="1" applyAlignment="1">
      <alignment horizontal="left" vertical="center" wrapText="1"/>
    </xf>
    <xf numFmtId="0" fontId="32" fillId="35" borderId="27" xfId="55" applyFont="1" applyFill="1" applyBorder="1" applyAlignment="1">
      <alignment horizontal="center" vertical="center"/>
      <protection/>
    </xf>
    <xf numFmtId="0" fontId="31" fillId="0" borderId="27" xfId="55" applyFont="1" applyFill="1" applyBorder="1" applyAlignment="1">
      <alignment horizontal="center" vertical="center" wrapText="1"/>
      <protection/>
    </xf>
    <xf numFmtId="49" fontId="31" fillId="0" borderId="27" xfId="55" applyNumberFormat="1" applyFont="1" applyFill="1" applyBorder="1" applyAlignment="1">
      <alignment horizontal="center" vertical="center" wrapText="1"/>
      <protection/>
    </xf>
    <xf numFmtId="0" fontId="31" fillId="0" borderId="0" xfId="55" applyFont="1" applyFill="1">
      <alignment/>
      <protection/>
    </xf>
    <xf numFmtId="0" fontId="5" fillId="40" borderId="0" xfId="0" applyFont="1" applyFill="1" applyAlignment="1">
      <alignment/>
    </xf>
    <xf numFmtId="0" fontId="17" fillId="0" borderId="20" xfId="0" applyFont="1" applyBorder="1" applyAlignment="1">
      <alignment vertical="center" wrapText="1"/>
    </xf>
    <xf numFmtId="0" fontId="22" fillId="40" borderId="13" xfId="0" applyFont="1" applyFill="1" applyBorder="1" applyAlignment="1">
      <alignment/>
    </xf>
    <xf numFmtId="0" fontId="22" fillId="40" borderId="24" xfId="0" applyFont="1" applyFill="1" applyBorder="1" applyAlignment="1">
      <alignment horizontal="left"/>
    </xf>
    <xf numFmtId="0" fontId="22" fillId="40" borderId="0" xfId="0" applyFont="1" applyFill="1" applyBorder="1" applyAlignment="1">
      <alignment horizontal="left"/>
    </xf>
    <xf numFmtId="0" fontId="27" fillId="40" borderId="23" xfId="0" applyFont="1" applyFill="1" applyBorder="1" applyAlignment="1">
      <alignment wrapText="1"/>
    </xf>
    <xf numFmtId="178" fontId="5" fillId="36" borderId="45" xfId="0" applyNumberFormat="1" applyFont="1" applyFill="1" applyBorder="1" applyAlignment="1">
      <alignment vertical="center"/>
    </xf>
    <xf numFmtId="178" fontId="5" fillId="36" borderId="46" xfId="0" applyNumberFormat="1" applyFont="1" applyFill="1" applyBorder="1" applyAlignment="1">
      <alignment vertical="center"/>
    </xf>
    <xf numFmtId="178" fontId="5" fillId="36" borderId="47" xfId="0" applyNumberFormat="1" applyFont="1" applyFill="1" applyBorder="1" applyAlignment="1">
      <alignment horizontal="right" vertical="center"/>
    </xf>
    <xf numFmtId="178" fontId="5" fillId="40" borderId="0" xfId="0" applyNumberFormat="1" applyFont="1" applyFill="1" applyAlignment="1">
      <alignment horizontal="center"/>
    </xf>
    <xf numFmtId="0" fontId="22" fillId="40" borderId="24" xfId="0" applyFont="1" applyFill="1" applyBorder="1" applyAlignment="1">
      <alignment horizontal="left"/>
    </xf>
    <xf numFmtId="0" fontId="5" fillId="40" borderId="0" xfId="0" applyFont="1" applyFill="1" applyAlignment="1">
      <alignment horizontal="center"/>
    </xf>
    <xf numFmtId="0" fontId="27" fillId="40" borderId="0" xfId="0" applyFont="1" applyFill="1" applyAlignment="1">
      <alignment wrapText="1"/>
    </xf>
    <xf numFmtId="0" fontId="27" fillId="40" borderId="0" xfId="0" applyFont="1" applyFill="1" applyAlignment="1">
      <alignment vertical="center" wrapText="1"/>
    </xf>
    <xf numFmtId="0" fontId="5" fillId="40" borderId="0" xfId="0" applyFont="1" applyFill="1" applyAlignment="1">
      <alignment horizontal="center"/>
    </xf>
    <xf numFmtId="0" fontId="5" fillId="40" borderId="0" xfId="0" applyFont="1" applyFill="1" applyBorder="1" applyAlignment="1">
      <alignment horizontal="center"/>
    </xf>
    <xf numFmtId="0" fontId="27" fillId="40" borderId="0" xfId="0" applyFont="1" applyFill="1" applyBorder="1" applyAlignment="1">
      <alignment wrapText="1"/>
    </xf>
    <xf numFmtId="0" fontId="17" fillId="40" borderId="0" xfId="0" applyFont="1" applyFill="1" applyBorder="1" applyAlignment="1">
      <alignment vertical="center" wrapText="1"/>
    </xf>
    <xf numFmtId="0" fontId="5" fillId="40" borderId="0" xfId="0" applyFont="1" applyFill="1" applyBorder="1" applyAlignment="1">
      <alignment horizontal="center"/>
    </xf>
    <xf numFmtId="178" fontId="5" fillId="40" borderId="0" xfId="0" applyNumberFormat="1" applyFont="1" applyFill="1" applyBorder="1" applyAlignment="1">
      <alignment horizontal="center"/>
    </xf>
    <xf numFmtId="0" fontId="5" fillId="40" borderId="0" xfId="0" applyFont="1" applyFill="1" applyAlignment="1">
      <alignment horizontal="center" vertical="center" wrapText="1"/>
    </xf>
    <xf numFmtId="170" fontId="5" fillId="0" borderId="0" xfId="0" applyNumberFormat="1" applyFont="1" applyAlignment="1">
      <alignment/>
    </xf>
    <xf numFmtId="9" fontId="5" fillId="0" borderId="0" xfId="0" applyNumberFormat="1" applyFont="1" applyAlignment="1">
      <alignment/>
    </xf>
    <xf numFmtId="0" fontId="5" fillId="0" borderId="26" xfId="0" applyFont="1" applyBorder="1" applyAlignment="1">
      <alignment horizontal="center"/>
    </xf>
    <xf numFmtId="178" fontId="5" fillId="0" borderId="19" xfId="0" applyNumberFormat="1" applyFont="1" applyBorder="1" applyAlignment="1">
      <alignment horizontal="center"/>
    </xf>
    <xf numFmtId="178" fontId="5" fillId="0" borderId="20" xfId="0" applyNumberFormat="1" applyFont="1" applyBorder="1" applyAlignment="1">
      <alignment horizontal="center"/>
    </xf>
    <xf numFmtId="178" fontId="5" fillId="36" borderId="19" xfId="0" applyNumberFormat="1" applyFont="1" applyFill="1" applyBorder="1" applyAlignment="1">
      <alignment horizontal="center"/>
    </xf>
    <xf numFmtId="178" fontId="5" fillId="36" borderId="20" xfId="0" applyNumberFormat="1" applyFont="1" applyFill="1" applyBorder="1" applyAlignment="1">
      <alignment horizontal="center"/>
    </xf>
    <xf numFmtId="0" fontId="22" fillId="35" borderId="39" xfId="0" applyFont="1" applyFill="1" applyBorder="1" applyAlignment="1">
      <alignment horizontal="left"/>
    </xf>
    <xf numFmtId="0" fontId="22" fillId="35" borderId="11" xfId="0" applyFont="1" applyFill="1" applyBorder="1" applyAlignment="1">
      <alignment horizontal="left"/>
    </xf>
    <xf numFmtId="0" fontId="22" fillId="35" borderId="12" xfId="0" applyFont="1" applyFill="1" applyBorder="1" applyAlignment="1">
      <alignment horizontal="left"/>
    </xf>
    <xf numFmtId="2" fontId="5" fillId="0" borderId="48" xfId="0" applyNumberFormat="1" applyFont="1" applyBorder="1" applyAlignment="1">
      <alignment horizontal="center"/>
    </xf>
    <xf numFmtId="2" fontId="5" fillId="0" borderId="49" xfId="0" applyNumberFormat="1"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22" fillId="0" borderId="10" xfId="0" applyFont="1" applyBorder="1" applyAlignment="1">
      <alignment horizontal="right"/>
    </xf>
    <xf numFmtId="0" fontId="22" fillId="0" borderId="11" xfId="0" applyFont="1" applyBorder="1" applyAlignment="1">
      <alignment horizontal="right"/>
    </xf>
    <xf numFmtId="0" fontId="22" fillId="0" borderId="12" xfId="0" applyFont="1" applyBorder="1" applyAlignment="1">
      <alignment horizontal="right"/>
    </xf>
    <xf numFmtId="176" fontId="5" fillId="0" borderId="48" xfId="0" applyNumberFormat="1" applyFont="1" applyBorder="1" applyAlignment="1">
      <alignment horizontal="center"/>
    </xf>
    <xf numFmtId="176" fontId="5" fillId="0" borderId="49" xfId="0" applyNumberFormat="1" applyFont="1" applyBorder="1" applyAlignment="1">
      <alignment horizontal="center"/>
    </xf>
    <xf numFmtId="0" fontId="5" fillId="40" borderId="19" xfId="0" applyFont="1" applyFill="1" applyBorder="1" applyAlignment="1">
      <alignment horizontal="center"/>
    </xf>
    <xf numFmtId="0" fontId="5" fillId="40" borderId="20" xfId="0" applyFont="1" applyFill="1" applyBorder="1" applyAlignment="1">
      <alignment horizontal="center"/>
    </xf>
    <xf numFmtId="0" fontId="5" fillId="40" borderId="26" xfId="0" applyFont="1" applyFill="1" applyBorder="1" applyAlignment="1">
      <alignment horizontal="center"/>
    </xf>
    <xf numFmtId="178" fontId="5" fillId="40" borderId="19" xfId="0" applyNumberFormat="1" applyFont="1" applyFill="1" applyBorder="1" applyAlignment="1">
      <alignment horizontal="center"/>
    </xf>
    <xf numFmtId="178" fontId="5" fillId="40" borderId="20" xfId="0" applyNumberFormat="1" applyFont="1" applyFill="1" applyBorder="1" applyAlignment="1">
      <alignment horizontal="center"/>
    </xf>
    <xf numFmtId="0" fontId="22" fillId="35" borderId="11" xfId="0" applyFont="1" applyFill="1" applyBorder="1" applyAlignment="1">
      <alignment horizontal="left"/>
    </xf>
    <xf numFmtId="0" fontId="5" fillId="0" borderId="48" xfId="0" applyFont="1" applyBorder="1" applyAlignment="1">
      <alignment horizontal="center"/>
    </xf>
    <xf numFmtId="0" fontId="5" fillId="0" borderId="49" xfId="0" applyFont="1" applyBorder="1" applyAlignment="1">
      <alignment horizontal="center"/>
    </xf>
    <xf numFmtId="0" fontId="22" fillId="0" borderId="10" xfId="0" applyFont="1" applyBorder="1" applyAlignment="1">
      <alignment horizontal="right" wrapText="1"/>
    </xf>
    <xf numFmtId="0" fontId="22" fillId="0" borderId="11" xfId="0" applyFont="1" applyBorder="1" applyAlignment="1">
      <alignment horizontal="right"/>
    </xf>
    <xf numFmtId="0" fontId="22" fillId="0" borderId="12" xfId="0" applyFont="1" applyBorder="1" applyAlignment="1">
      <alignment horizontal="right"/>
    </xf>
    <xf numFmtId="0" fontId="22" fillId="33" borderId="10" xfId="0" applyFont="1" applyFill="1" applyBorder="1" applyAlignment="1">
      <alignment horizontal="right" wrapText="1"/>
    </xf>
    <xf numFmtId="0" fontId="22" fillId="33" borderId="11" xfId="0" applyFont="1" applyFill="1" applyBorder="1" applyAlignment="1">
      <alignment horizontal="right"/>
    </xf>
    <xf numFmtId="0" fontId="22" fillId="33" borderId="12" xfId="0" applyFont="1" applyFill="1" applyBorder="1" applyAlignment="1">
      <alignment horizontal="right"/>
    </xf>
    <xf numFmtId="0" fontId="5" fillId="0" borderId="10" xfId="0" applyFont="1" applyBorder="1" applyAlignment="1">
      <alignment horizontal="right" wrapText="1"/>
    </xf>
    <xf numFmtId="0" fontId="5" fillId="0" borderId="11" xfId="0" applyFont="1" applyBorder="1" applyAlignment="1">
      <alignment horizontal="right"/>
    </xf>
    <xf numFmtId="0" fontId="5" fillId="0" borderId="12" xfId="0" applyFont="1" applyBorder="1" applyAlignment="1">
      <alignment horizontal="right"/>
    </xf>
    <xf numFmtId="0" fontId="22" fillId="0" borderId="34" xfId="0" applyFont="1" applyBorder="1" applyAlignment="1">
      <alignment horizontal="right" vertical="center"/>
    </xf>
    <xf numFmtId="0" fontId="22" fillId="0" borderId="27" xfId="0" applyFont="1" applyBorder="1" applyAlignment="1">
      <alignment horizontal="right" vertical="center"/>
    </xf>
    <xf numFmtId="0" fontId="22" fillId="0" borderId="43" xfId="0" applyFont="1" applyBorder="1" applyAlignment="1">
      <alignment horizontal="right" vertical="center"/>
    </xf>
    <xf numFmtId="0" fontId="22" fillId="0" borderId="44" xfId="0" applyFont="1" applyBorder="1" applyAlignment="1">
      <alignment horizontal="right" vertical="center"/>
    </xf>
    <xf numFmtId="0" fontId="22" fillId="0" borderId="35" xfId="0" applyFont="1" applyBorder="1" applyAlignment="1">
      <alignment horizontal="right" vertical="center"/>
    </xf>
    <xf numFmtId="0" fontId="22" fillId="0" borderId="36" xfId="0" applyFont="1" applyBorder="1" applyAlignment="1">
      <alignment horizontal="right" vertical="center"/>
    </xf>
    <xf numFmtId="178" fontId="5" fillId="0" borderId="19" xfId="0" applyNumberFormat="1" applyFont="1" applyBorder="1" applyAlignment="1">
      <alignment horizontal="center" vertical="center"/>
    </xf>
    <xf numFmtId="178" fontId="5" fillId="0" borderId="20" xfId="0" applyNumberFormat="1"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178" fontId="5" fillId="36" borderId="19" xfId="0" applyNumberFormat="1" applyFont="1" applyFill="1" applyBorder="1" applyAlignment="1">
      <alignment horizontal="center" vertical="center"/>
    </xf>
    <xf numFmtId="178" fontId="5" fillId="36" borderId="20" xfId="0" applyNumberFormat="1" applyFont="1" applyFill="1" applyBorder="1" applyAlignment="1">
      <alignment horizontal="center" vertical="center"/>
    </xf>
    <xf numFmtId="0" fontId="5" fillId="0" borderId="19" xfId="0" applyFont="1" applyBorder="1" applyAlignment="1">
      <alignment horizontal="center"/>
    </xf>
    <xf numFmtId="0" fontId="5" fillId="0" borderId="26" xfId="0" applyFont="1" applyBorder="1" applyAlignment="1">
      <alignment horizont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Border="1" applyAlignment="1">
      <alignment horizontal="left" wrapText="1"/>
    </xf>
    <xf numFmtId="2" fontId="5" fillId="0" borderId="19" xfId="0" applyNumberFormat="1" applyFont="1" applyBorder="1" applyAlignment="1">
      <alignment horizontal="center"/>
    </xf>
    <xf numFmtId="2" fontId="5" fillId="0" borderId="20" xfId="0" applyNumberFormat="1" applyFont="1" applyBorder="1" applyAlignment="1">
      <alignment horizontal="center"/>
    </xf>
    <xf numFmtId="0" fontId="13" fillId="37" borderId="14" xfId="0" applyFont="1" applyFill="1" applyBorder="1" applyAlignment="1">
      <alignment horizontal="center" vertical="top"/>
    </xf>
    <xf numFmtId="0" fontId="13" fillId="37" borderId="25" xfId="0" applyFont="1" applyFill="1" applyBorder="1" applyAlignment="1">
      <alignment horizontal="center" vertical="top"/>
    </xf>
    <xf numFmtId="0" fontId="13" fillId="37" borderId="17" xfId="0" applyFont="1" applyFill="1" applyBorder="1" applyAlignment="1">
      <alignment horizontal="center" vertical="top"/>
    </xf>
    <xf numFmtId="0" fontId="22" fillId="35" borderId="11" xfId="0" applyFont="1" applyFill="1" applyBorder="1" applyAlignment="1">
      <alignment horizontal="left" wrapText="1"/>
    </xf>
    <xf numFmtId="176" fontId="5" fillId="0" borderId="19" xfId="0" applyNumberFormat="1" applyFont="1" applyBorder="1" applyAlignment="1">
      <alignment horizontal="center"/>
    </xf>
    <xf numFmtId="176" fontId="5" fillId="0" borderId="20" xfId="0" applyNumberFormat="1" applyFont="1" applyBorder="1" applyAlignment="1">
      <alignment horizontal="center"/>
    </xf>
    <xf numFmtId="0" fontId="2" fillId="35" borderId="13" xfId="0" applyFont="1" applyFill="1" applyBorder="1" applyAlignment="1">
      <alignment horizontal="center" vertical="center" wrapText="1"/>
    </xf>
    <xf numFmtId="0" fontId="2" fillId="35" borderId="15" xfId="0" applyFont="1" applyFill="1" applyBorder="1" applyAlignment="1">
      <alignment horizontal="center" vertical="center"/>
    </xf>
    <xf numFmtId="0" fontId="2" fillId="35" borderId="24"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6" fillId="37" borderId="13" xfId="0" applyFont="1" applyFill="1" applyBorder="1" applyAlignment="1">
      <alignment horizontal="center"/>
    </xf>
    <xf numFmtId="0" fontId="6" fillId="37" borderId="24" xfId="0" applyFont="1" applyFill="1" applyBorder="1" applyAlignment="1">
      <alignment horizontal="center"/>
    </xf>
    <xf numFmtId="0" fontId="6" fillId="37" borderId="15" xfId="0" applyFont="1" applyFill="1" applyBorder="1" applyAlignment="1">
      <alignment horizontal="center"/>
    </xf>
    <xf numFmtId="0" fontId="13" fillId="35" borderId="14" xfId="0" applyFont="1" applyFill="1" applyBorder="1" applyAlignment="1">
      <alignment horizontal="center" vertical="center" wrapText="1"/>
    </xf>
    <xf numFmtId="0" fontId="2" fillId="35" borderId="17" xfId="0" applyFont="1" applyFill="1" applyBorder="1" applyAlignment="1">
      <alignment horizontal="center" vertical="center"/>
    </xf>
    <xf numFmtId="0" fontId="22" fillId="35" borderId="10" xfId="0" applyFont="1" applyFill="1" applyBorder="1" applyAlignment="1">
      <alignment horizontal="center"/>
    </xf>
    <xf numFmtId="0" fontId="22" fillId="35" borderId="11" xfId="0" applyFont="1" applyFill="1" applyBorder="1" applyAlignment="1">
      <alignment horizontal="center"/>
    </xf>
    <xf numFmtId="0" fontId="22" fillId="35" borderId="12" xfId="0" applyFont="1" applyFill="1" applyBorder="1" applyAlignment="1">
      <alignment horizontal="center"/>
    </xf>
    <xf numFmtId="0" fontId="22" fillId="0" borderId="41" xfId="0" applyFont="1" applyBorder="1" applyAlignment="1">
      <alignment horizontal="right" vertical="center"/>
    </xf>
    <xf numFmtId="0" fontId="22" fillId="0" borderId="50" xfId="0" applyFont="1" applyBorder="1" applyAlignment="1">
      <alignment horizontal="right" vertical="center"/>
    </xf>
    <xf numFmtId="0" fontId="22" fillId="0" borderId="42" xfId="0" applyFont="1" applyBorder="1" applyAlignment="1">
      <alignment horizontal="right" vertical="center"/>
    </xf>
    <xf numFmtId="181" fontId="4" fillId="0" borderId="27" xfId="55" applyNumberFormat="1" applyFont="1" applyFill="1" applyBorder="1" applyAlignment="1" applyProtection="1">
      <alignment horizontal="center" vertical="center" wrapText="1"/>
      <protection hidden="1"/>
    </xf>
    <xf numFmtId="0" fontId="1" fillId="35" borderId="13" xfId="55" applyFont="1" applyFill="1" applyBorder="1" applyAlignment="1">
      <alignment horizontal="center" vertical="center"/>
      <protection/>
    </xf>
    <xf numFmtId="0" fontId="1" fillId="35" borderId="24" xfId="55" applyFont="1" applyFill="1" applyBorder="1" applyAlignment="1">
      <alignment horizontal="center" vertical="center"/>
      <protection/>
    </xf>
    <xf numFmtId="0" fontId="1" fillId="35" borderId="15" xfId="55" applyFont="1" applyFill="1" applyBorder="1" applyAlignment="1">
      <alignment horizontal="center" vertical="center"/>
      <protection/>
    </xf>
    <xf numFmtId="181" fontId="4" fillId="0" borderId="27" xfId="55" applyNumberFormat="1" applyFont="1" applyFill="1" applyBorder="1" applyAlignment="1" applyProtection="1">
      <alignment horizontal="center" vertical="center"/>
      <protection hidden="1"/>
    </xf>
    <xf numFmtId="178" fontId="4" fillId="0" borderId="27" xfId="0" applyNumberFormat="1" applyFont="1" applyFill="1" applyBorder="1" applyAlignment="1">
      <alignment horizontal="center" vertical="center"/>
    </xf>
    <xf numFmtId="0" fontId="0" fillId="37" borderId="13" xfId="0" applyFill="1" applyBorder="1" applyAlignment="1" applyProtection="1">
      <alignment horizontal="center"/>
      <protection hidden="1"/>
    </xf>
    <xf numFmtId="0" fontId="0" fillId="37" borderId="15" xfId="0" applyFill="1" applyBorder="1" applyAlignment="1" applyProtection="1">
      <alignment horizontal="center"/>
      <protection hidden="1"/>
    </xf>
    <xf numFmtId="0" fontId="32" fillId="35" borderId="27" xfId="55" applyFont="1" applyFill="1" applyBorder="1" applyAlignment="1">
      <alignment horizontal="center" vertical="center"/>
      <protection/>
    </xf>
    <xf numFmtId="181" fontId="4" fillId="0" borderId="27" xfId="55" applyNumberFormat="1" applyFont="1" applyFill="1" applyBorder="1" applyAlignment="1">
      <alignment horizontal="center" vertical="center"/>
      <protection/>
    </xf>
    <xf numFmtId="0" fontId="4" fillId="0" borderId="27" xfId="55" applyFont="1" applyFill="1" applyBorder="1" applyAlignment="1">
      <alignment horizontal="center" vertical="center" wrapText="1"/>
      <protection/>
    </xf>
    <xf numFmtId="0" fontId="2" fillId="0" borderId="10" xfId="55" applyFont="1" applyFill="1" applyBorder="1" applyAlignment="1">
      <alignment horizontal="center" vertical="center" wrapText="1"/>
      <protection/>
    </xf>
    <xf numFmtId="0" fontId="2" fillId="0" borderId="11" xfId="55" applyFont="1" applyFill="1" applyBorder="1" applyAlignment="1">
      <alignment horizontal="center" vertical="center" wrapText="1"/>
      <protection/>
    </xf>
    <xf numFmtId="0" fontId="2" fillId="0" borderId="12" xfId="55" applyFont="1" applyFill="1" applyBorder="1" applyAlignment="1">
      <alignment horizontal="center" vertical="center" wrapText="1"/>
      <protection/>
    </xf>
    <xf numFmtId="0" fontId="1" fillId="0" borderId="0" xfId="55" applyFont="1" applyFill="1" applyBorder="1" applyAlignment="1">
      <alignment/>
      <protection/>
    </xf>
    <xf numFmtId="0" fontId="2"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0" fillId="0" borderId="51"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20" xfId="55" applyFont="1" applyFill="1" applyBorder="1" applyAlignment="1">
      <alignment horizontal="center" vertical="center" wrapText="1"/>
      <protection/>
    </xf>
    <xf numFmtId="0" fontId="0" fillId="0" borderId="16" xfId="55" applyFont="1" applyFill="1" applyBorder="1" applyAlignment="1">
      <alignment horizontal="center" vertical="center" wrapText="1"/>
      <protection/>
    </xf>
    <xf numFmtId="0" fontId="0" fillId="0" borderId="53" xfId="55" applyFont="1" applyFill="1" applyBorder="1" applyAlignment="1">
      <alignment horizontal="center" vertical="center" wrapText="1"/>
      <protection/>
    </xf>
    <xf numFmtId="178" fontId="0" fillId="0" borderId="19" xfId="0" applyNumberFormat="1" applyFill="1" applyBorder="1" applyAlignment="1">
      <alignment horizontal="center" vertical="center"/>
    </xf>
    <xf numFmtId="178" fontId="0" fillId="0" borderId="20" xfId="0" applyNumberFormat="1" applyFill="1" applyBorder="1" applyAlignment="1">
      <alignment horizontal="center" vertical="center"/>
    </xf>
    <xf numFmtId="0" fontId="6" fillId="39" borderId="54" xfId="0" applyFont="1" applyFill="1" applyBorder="1" applyAlignment="1" applyProtection="1">
      <alignment horizontal="center" vertical="top"/>
      <protection hidden="1"/>
    </xf>
    <xf numFmtId="0" fontId="6" fillId="39" borderId="55" xfId="0" applyFont="1" applyFill="1" applyBorder="1" applyAlignment="1" applyProtection="1">
      <alignment horizontal="center" vertical="top"/>
      <protection hidden="1"/>
    </xf>
    <xf numFmtId="0" fontId="6" fillId="39" borderId="56" xfId="0" applyFont="1" applyFill="1" applyBorder="1" applyAlignment="1" applyProtection="1">
      <alignment horizontal="center" vertical="top"/>
      <protection hidden="1"/>
    </xf>
    <xf numFmtId="178" fontId="1" fillId="0" borderId="26" xfId="0" applyNumberFormat="1" applyFont="1" applyBorder="1" applyAlignment="1" applyProtection="1">
      <alignment horizontal="center" vertical="center"/>
      <protection hidden="1"/>
    </xf>
    <xf numFmtId="178" fontId="1" fillId="0" borderId="20" xfId="0" applyNumberFormat="1" applyFont="1" applyBorder="1" applyAlignment="1" applyProtection="1">
      <alignment horizontal="center" vertical="center"/>
      <protection hidden="1"/>
    </xf>
    <xf numFmtId="2" fontId="0" fillId="0" borderId="19" xfId="0" applyNumberFormat="1" applyFont="1" applyFill="1" applyBorder="1" applyAlignment="1" applyProtection="1">
      <alignment horizontal="center" vertical="center"/>
      <protection hidden="1"/>
    </xf>
    <xf numFmtId="2" fontId="0" fillId="0" borderId="20" xfId="0" applyNumberFormat="1"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178" fontId="1" fillId="0" borderId="26" xfId="0" applyNumberFormat="1" applyFont="1" applyFill="1" applyBorder="1" applyAlignment="1" applyProtection="1">
      <alignment horizontal="center" vertical="center"/>
      <protection hidden="1"/>
    </xf>
    <xf numFmtId="178" fontId="1" fillId="0" borderId="20" xfId="0" applyNumberFormat="1" applyFont="1" applyFill="1" applyBorder="1" applyAlignment="1" applyProtection="1">
      <alignment horizontal="center" vertical="center"/>
      <protection hidden="1"/>
    </xf>
    <xf numFmtId="2" fontId="0" fillId="0" borderId="26" xfId="0" applyNumberFormat="1" applyFont="1" applyFill="1" applyBorder="1" applyAlignment="1" applyProtection="1">
      <alignment horizontal="center" vertical="center"/>
      <protection hidden="1"/>
    </xf>
    <xf numFmtId="4" fontId="1" fillId="0" borderId="19" xfId="0" applyNumberFormat="1" applyFont="1" applyBorder="1" applyAlignment="1" applyProtection="1">
      <alignment horizontal="center" vertical="center"/>
      <protection hidden="1"/>
    </xf>
    <xf numFmtId="4" fontId="1" fillId="0" borderId="26" xfId="0" applyNumberFormat="1" applyFont="1" applyBorder="1" applyAlignment="1" applyProtection="1">
      <alignment horizontal="center" vertical="center"/>
      <protection hidden="1"/>
    </xf>
    <xf numFmtId="4" fontId="1" fillId="0" borderId="20" xfId="0" applyNumberFormat="1" applyFont="1" applyBorder="1" applyAlignment="1" applyProtection="1">
      <alignment horizontal="center" vertical="center"/>
      <protection hidden="1"/>
    </xf>
    <xf numFmtId="2" fontId="0" fillId="0" borderId="19" xfId="0" applyNumberFormat="1" applyFont="1" applyBorder="1" applyAlignment="1" applyProtection="1">
      <alignment horizontal="center" vertical="center"/>
      <protection locked="0"/>
    </xf>
    <xf numFmtId="2" fontId="0" fillId="0" borderId="26" xfId="0" applyNumberFormat="1" applyFont="1" applyBorder="1" applyAlignment="1" applyProtection="1">
      <alignment horizontal="center" vertical="center"/>
      <protection locked="0"/>
    </xf>
    <xf numFmtId="2" fontId="0" fillId="0" borderId="20" xfId="0" applyNumberFormat="1"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hidden="1"/>
    </xf>
    <xf numFmtId="2" fontId="0" fillId="0" borderId="19" xfId="0" applyNumberFormat="1" applyFont="1" applyBorder="1" applyAlignment="1" applyProtection="1">
      <alignment horizontal="center" vertical="center"/>
      <protection hidden="1"/>
    </xf>
    <xf numFmtId="2" fontId="0" fillId="0" borderId="20" xfId="0" applyNumberFormat="1" applyFont="1" applyBorder="1" applyAlignment="1" applyProtection="1">
      <alignment horizontal="center" vertical="center"/>
      <protection hidden="1"/>
    </xf>
    <xf numFmtId="2" fontId="0" fillId="0" borderId="26" xfId="0" applyNumberFormat="1" applyFont="1" applyFill="1" applyBorder="1" applyAlignment="1" applyProtection="1">
      <alignment horizontal="center" vertical="center"/>
      <protection locked="0"/>
    </xf>
    <xf numFmtId="2" fontId="0" fillId="0" borderId="20" xfId="0" applyNumberFormat="1" applyFont="1" applyFill="1" applyBorder="1" applyAlignment="1" applyProtection="1">
      <alignment horizontal="center" vertical="center"/>
      <protection locked="0"/>
    </xf>
    <xf numFmtId="178" fontId="1" fillId="0" borderId="19" xfId="0" applyNumberFormat="1" applyFont="1" applyFill="1" applyBorder="1" applyAlignment="1" applyProtection="1">
      <alignment horizontal="center" vertical="center"/>
      <protection hidden="1"/>
    </xf>
    <xf numFmtId="0" fontId="10" fillId="0" borderId="57" xfId="0" applyFont="1" applyBorder="1" applyAlignment="1">
      <alignment horizontal="center" vertical="center" wrapText="1"/>
    </xf>
    <xf numFmtId="0" fontId="0" fillId="0" borderId="58" xfId="0" applyBorder="1" applyAlignment="1">
      <alignment/>
    </xf>
    <xf numFmtId="0" fontId="0" fillId="0" borderId="59" xfId="0" applyBorder="1" applyAlignment="1">
      <alignment/>
    </xf>
    <xf numFmtId="0" fontId="6" fillId="0" borderId="54" xfId="0" applyFont="1" applyFill="1" applyBorder="1" applyAlignment="1" applyProtection="1">
      <alignment horizontal="center" vertical="top"/>
      <protection hidden="1"/>
    </xf>
    <xf numFmtId="0" fontId="6" fillId="0" borderId="55" xfId="0" applyFont="1" applyFill="1" applyBorder="1" applyAlignment="1" applyProtection="1">
      <alignment horizontal="center" vertical="top"/>
      <protection hidden="1"/>
    </xf>
    <xf numFmtId="0" fontId="6" fillId="0" borderId="56" xfId="0" applyFont="1" applyFill="1" applyBorder="1" applyAlignment="1" applyProtection="1">
      <alignment horizontal="center" vertical="top"/>
      <protection hidden="1"/>
    </xf>
    <xf numFmtId="178" fontId="1" fillId="0" borderId="19" xfId="0" applyNumberFormat="1"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6" fillId="0" borderId="54" xfId="0" applyFont="1" applyFill="1" applyBorder="1" applyAlignment="1" applyProtection="1">
      <alignment horizontal="center" vertical="center" wrapText="1"/>
      <protection hidden="1"/>
    </xf>
    <xf numFmtId="0" fontId="6" fillId="0" borderId="55" xfId="0" applyFont="1" applyFill="1" applyBorder="1" applyAlignment="1" applyProtection="1">
      <alignment horizontal="center" vertical="center" wrapText="1"/>
      <protection hidden="1"/>
    </xf>
    <xf numFmtId="0" fontId="6" fillId="0" borderId="56" xfId="0" applyFont="1" applyFill="1" applyBorder="1" applyAlignment="1" applyProtection="1">
      <alignment horizontal="center" vertical="center" wrapText="1"/>
      <protection hidden="1"/>
    </xf>
    <xf numFmtId="0" fontId="6" fillId="0" borderId="54" xfId="0" applyFont="1" applyFill="1" applyBorder="1" applyAlignment="1" applyProtection="1">
      <alignment horizontal="center" vertical="center"/>
      <protection hidden="1"/>
    </xf>
    <xf numFmtId="0" fontId="6" fillId="0" borderId="55" xfId="0" applyFont="1" applyFill="1" applyBorder="1" applyAlignment="1" applyProtection="1">
      <alignment horizontal="center" vertical="center"/>
      <protection hidden="1"/>
    </xf>
    <xf numFmtId="0" fontId="6" fillId="0" borderId="56" xfId="0" applyFont="1" applyFill="1" applyBorder="1" applyAlignment="1" applyProtection="1">
      <alignment horizontal="center" vertical="center"/>
      <protection hidden="1"/>
    </xf>
    <xf numFmtId="0" fontId="6" fillId="0" borderId="19" xfId="0" applyFont="1" applyBorder="1" applyAlignment="1" applyProtection="1">
      <alignment horizontal="left" vertical="top" wrapText="1"/>
      <protection hidden="1"/>
    </xf>
    <xf numFmtId="0" fontId="2" fillId="0" borderId="19" xfId="0" applyFont="1" applyBorder="1" applyAlignment="1" applyProtection="1">
      <alignment horizontal="left" vertical="top" wrapText="1"/>
      <protection hidden="1"/>
    </xf>
    <xf numFmtId="0" fontId="0" fillId="0" borderId="60" xfId="0" applyBorder="1" applyAlignment="1">
      <alignment/>
    </xf>
    <xf numFmtId="0" fontId="0" fillId="0" borderId="61" xfId="0" applyBorder="1" applyAlignment="1">
      <alignment/>
    </xf>
    <xf numFmtId="0" fontId="9" fillId="0" borderId="25" xfId="0" applyFont="1" applyBorder="1" applyAlignment="1">
      <alignment horizontal="center" vertical="center"/>
    </xf>
    <xf numFmtId="0" fontId="9" fillId="0" borderId="62" xfId="0" applyFont="1" applyBorder="1" applyAlignment="1">
      <alignment horizontal="center" vertical="center"/>
    </xf>
    <xf numFmtId="0" fontId="6" fillId="0" borderId="13" xfId="0" applyFont="1" applyFill="1" applyBorder="1" applyAlignment="1" applyProtection="1">
      <alignment horizontal="center" vertical="top" wrapText="1"/>
      <protection hidden="1"/>
    </xf>
    <xf numFmtId="0" fontId="2" fillId="0" borderId="24" xfId="0" applyFont="1" applyFill="1" applyBorder="1" applyAlignment="1" applyProtection="1">
      <alignment horizontal="center" vertical="top" wrapText="1"/>
      <protection hidden="1"/>
    </xf>
    <xf numFmtId="0" fontId="2" fillId="0" borderId="15" xfId="0" applyFont="1" applyFill="1" applyBorder="1" applyAlignment="1" applyProtection="1">
      <alignment horizontal="center" vertical="top" wrapText="1"/>
      <protection hidden="1"/>
    </xf>
    <xf numFmtId="0" fontId="2" fillId="0" borderId="29" xfId="0" applyFont="1" applyFill="1" applyBorder="1" applyAlignment="1">
      <alignment horizontal="center" vertical="center" wrapText="1"/>
    </xf>
    <xf numFmtId="0" fontId="6" fillId="0" borderId="10" xfId="0" applyFont="1" applyFill="1" applyBorder="1" applyAlignment="1" applyProtection="1">
      <alignment horizontal="center" vertical="top" wrapText="1"/>
      <protection hidden="1"/>
    </xf>
    <xf numFmtId="0" fontId="2" fillId="0" borderId="11" xfId="0" applyFont="1" applyFill="1" applyBorder="1" applyAlignment="1" applyProtection="1">
      <alignment horizontal="center" vertical="top" wrapText="1"/>
      <protection hidden="1"/>
    </xf>
    <xf numFmtId="0" fontId="6" fillId="0" borderId="27" xfId="0" applyFont="1" applyFill="1" applyBorder="1" applyAlignment="1" applyProtection="1">
      <alignment horizontal="left" vertical="top" wrapText="1"/>
      <protection hidden="1"/>
    </xf>
    <xf numFmtId="0" fontId="6" fillId="0" borderId="19" xfId="0" applyFont="1" applyFill="1" applyBorder="1" applyAlignment="1" applyProtection="1">
      <alignment horizontal="left" vertical="top" wrapText="1"/>
      <protection hidden="1"/>
    </xf>
    <xf numFmtId="0" fontId="0" fillId="0" borderId="26" xfId="0" applyFont="1" applyBorder="1" applyAlignment="1" applyProtection="1">
      <alignment horizontal="center" vertical="center"/>
      <protection hidden="1"/>
    </xf>
    <xf numFmtId="0" fontId="6" fillId="0" borderId="44" xfId="0" applyFont="1" applyBorder="1" applyAlignment="1" applyProtection="1">
      <alignment horizontal="left" vertical="top" wrapText="1"/>
      <protection hidden="1"/>
    </xf>
    <xf numFmtId="0" fontId="2" fillId="0" borderId="35" xfId="0" applyFont="1" applyBorder="1" applyAlignment="1" applyProtection="1">
      <alignment horizontal="left" vertical="top" wrapText="1"/>
      <protection hidden="1"/>
    </xf>
    <xf numFmtId="0" fontId="9" fillId="0" borderId="14" xfId="0" applyFont="1" applyBorder="1" applyAlignment="1">
      <alignment horizontal="center" vertical="center"/>
    </xf>
    <xf numFmtId="0" fontId="0" fillId="0" borderId="63" xfId="0" applyFont="1" applyBorder="1" applyAlignment="1" applyProtection="1">
      <alignment horizontal="center" vertical="center"/>
      <protection hidden="1"/>
    </xf>
    <xf numFmtId="0" fontId="0" fillId="0" borderId="64" xfId="0" applyFont="1" applyBorder="1" applyAlignment="1" applyProtection="1">
      <alignment horizontal="center" vertical="center"/>
      <protection hidden="1"/>
    </xf>
    <xf numFmtId="4" fontId="0" fillId="0" borderId="19" xfId="0" applyNumberFormat="1" applyFont="1" applyBorder="1" applyAlignment="1" applyProtection="1">
      <alignment horizontal="center" vertical="center"/>
      <protection locked="0"/>
    </xf>
    <xf numFmtId="4" fontId="0" fillId="0" borderId="20" xfId="0" applyNumberFormat="1" applyFont="1" applyBorder="1" applyAlignment="1" applyProtection="1">
      <alignment horizontal="center" vertical="center"/>
      <protection locked="0"/>
    </xf>
    <xf numFmtId="178" fontId="1" fillId="0" borderId="33" xfId="0" applyNumberFormat="1" applyFont="1" applyBorder="1" applyAlignment="1" applyProtection="1">
      <alignment horizontal="center" vertical="center"/>
      <protection hidden="1"/>
    </xf>
    <xf numFmtId="178" fontId="1" fillId="0" borderId="53" xfId="0" applyNumberFormat="1" applyFont="1" applyBorder="1" applyAlignment="1" applyProtection="1">
      <alignment horizontal="center" vertical="center"/>
      <protection hidden="1"/>
    </xf>
    <xf numFmtId="183" fontId="5" fillId="0" borderId="65" xfId="0" applyNumberFormat="1" applyFont="1" applyBorder="1" applyAlignment="1">
      <alignment horizontal="center" vertical="center"/>
    </xf>
    <xf numFmtId="183" fontId="5" fillId="0" borderId="33" xfId="0" applyNumberFormat="1" applyFont="1" applyBorder="1" applyAlignment="1">
      <alignment horizontal="center" vertical="center"/>
    </xf>
    <xf numFmtId="183" fontId="5" fillId="0" borderId="53"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24"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6" fillId="39" borderId="66" xfId="0" applyFont="1" applyFill="1" applyBorder="1" applyAlignment="1" applyProtection="1">
      <alignment horizontal="center" vertical="top"/>
      <protection hidden="1"/>
    </xf>
    <xf numFmtId="0" fontId="3" fillId="35" borderId="13" xfId="0" applyFont="1" applyFill="1" applyBorder="1" applyAlignment="1">
      <alignment horizontal="center" wrapText="1"/>
    </xf>
    <xf numFmtId="0" fontId="3" fillId="35" borderId="15" xfId="0" applyFont="1" applyFill="1" applyBorder="1" applyAlignment="1">
      <alignment horizontal="center"/>
    </xf>
    <xf numFmtId="0" fontId="9" fillId="35" borderId="13" xfId="0" applyFont="1" applyFill="1" applyBorder="1" applyAlignment="1">
      <alignment horizontal="center" wrapText="1"/>
    </xf>
    <xf numFmtId="0" fontId="9" fillId="35" borderId="15" xfId="0" applyFont="1" applyFill="1" applyBorder="1" applyAlignment="1">
      <alignment horizontal="center"/>
    </xf>
    <xf numFmtId="0" fontId="0" fillId="37" borderId="13" xfId="0" applyFill="1" applyBorder="1" applyAlignment="1">
      <alignment horizontal="center"/>
    </xf>
    <xf numFmtId="0" fontId="0" fillId="37" borderId="24" xfId="0" applyFill="1" applyBorder="1" applyAlignment="1">
      <alignment horizontal="center"/>
    </xf>
    <xf numFmtId="0" fontId="0" fillId="37" borderId="15" xfId="0" applyFill="1" applyBorder="1" applyAlignment="1">
      <alignment horizontal="center"/>
    </xf>
    <xf numFmtId="0" fontId="14" fillId="35" borderId="14" xfId="0" applyFont="1" applyFill="1" applyBorder="1" applyAlignment="1">
      <alignment horizontal="center" wrapText="1"/>
    </xf>
    <xf numFmtId="0" fontId="9" fillId="35" borderId="17" xfId="0" applyFont="1" applyFill="1" applyBorder="1" applyAlignment="1">
      <alignment horizontal="center"/>
    </xf>
    <xf numFmtId="0" fontId="20" fillId="37" borderId="14" xfId="0" applyFont="1" applyFill="1" applyBorder="1" applyAlignment="1">
      <alignment horizontal="center" vertical="top"/>
    </xf>
    <xf numFmtId="0" fontId="20" fillId="37" borderId="25" xfId="0" applyFont="1" applyFill="1" applyBorder="1" applyAlignment="1">
      <alignment horizontal="center" vertical="top"/>
    </xf>
    <xf numFmtId="0" fontId="20" fillId="37" borderId="17" xfId="0" applyFont="1" applyFill="1" applyBorder="1" applyAlignment="1">
      <alignment horizontal="center" vertical="top"/>
    </xf>
    <xf numFmtId="0" fontId="7" fillId="35" borderId="11" xfId="0" applyFont="1" applyFill="1" applyBorder="1" applyAlignment="1">
      <alignment horizontal="left"/>
    </xf>
    <xf numFmtId="0" fontId="7" fillId="35" borderId="12" xfId="0" applyFont="1" applyFill="1" applyBorder="1" applyAlignment="1">
      <alignment horizontal="left"/>
    </xf>
    <xf numFmtId="0" fontId="6" fillId="0" borderId="48" xfId="0" applyFont="1" applyBorder="1" applyAlignment="1">
      <alignment horizontal="center"/>
    </xf>
    <xf numFmtId="0" fontId="6" fillId="0" borderId="49" xfId="0" applyFont="1" applyBorder="1" applyAlignment="1">
      <alignment horizontal="center"/>
    </xf>
    <xf numFmtId="2" fontId="0" fillId="37" borderId="19" xfId="0" applyNumberFormat="1" applyFill="1" applyBorder="1" applyAlignment="1">
      <alignment horizontal="center"/>
    </xf>
    <xf numFmtId="2" fontId="0" fillId="37" borderId="20" xfId="0" applyNumberFormat="1" applyFill="1" applyBorder="1" applyAlignment="1">
      <alignment horizontal="center"/>
    </xf>
    <xf numFmtId="0" fontId="0" fillId="0" borderId="26" xfId="0" applyBorder="1" applyAlignment="1">
      <alignment horizontal="center"/>
    </xf>
    <xf numFmtId="178" fontId="0" fillId="0" borderId="19" xfId="0" applyNumberFormat="1" applyBorder="1" applyAlignment="1">
      <alignment horizontal="center"/>
    </xf>
    <xf numFmtId="178" fontId="0" fillId="0" borderId="20" xfId="0" applyNumberFormat="1" applyBorder="1" applyAlignment="1">
      <alignment horizontal="center"/>
    </xf>
    <xf numFmtId="178" fontId="0" fillId="36" borderId="19" xfId="0" applyNumberFormat="1" applyFill="1" applyBorder="1" applyAlignment="1">
      <alignment horizontal="center"/>
    </xf>
    <xf numFmtId="178" fontId="0" fillId="36" borderId="20" xfId="0" applyNumberFormat="1" applyFill="1" applyBorder="1" applyAlignment="1">
      <alignment horizontal="center"/>
    </xf>
    <xf numFmtId="176" fontId="6" fillId="0" borderId="48" xfId="0" applyNumberFormat="1" applyFont="1" applyBorder="1" applyAlignment="1">
      <alignment horizontal="center"/>
    </xf>
    <xf numFmtId="176" fontId="6" fillId="0" borderId="49" xfId="0" applyNumberFormat="1" applyFont="1" applyBorder="1" applyAlignment="1">
      <alignment horizontal="center"/>
    </xf>
    <xf numFmtId="0" fontId="0" fillId="37" borderId="19" xfId="0" applyFill="1" applyBorder="1" applyAlignment="1">
      <alignment horizontal="center"/>
    </xf>
    <xf numFmtId="0" fontId="0" fillId="37" borderId="20" xfId="0" applyFill="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3" fillId="0" borderId="10" xfId="0" applyFont="1" applyBorder="1" applyAlignment="1">
      <alignment horizontal="right" wrapText="1"/>
    </xf>
    <xf numFmtId="0" fontId="3" fillId="0" borderId="11" xfId="0" applyFont="1" applyBorder="1" applyAlignment="1">
      <alignment horizontal="right"/>
    </xf>
    <xf numFmtId="0" fontId="3" fillId="0" borderId="12" xfId="0" applyFont="1" applyBorder="1" applyAlignment="1">
      <alignment horizontal="right"/>
    </xf>
    <xf numFmtId="0" fontId="0"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47</xdr:row>
      <xdr:rowOff>0</xdr:rowOff>
    </xdr:from>
    <xdr:to>
      <xdr:col>1</xdr:col>
      <xdr:colOff>3114675</xdr:colOff>
      <xdr:row>47</xdr:row>
      <xdr:rowOff>0</xdr:rowOff>
    </xdr:to>
    <xdr:sp>
      <xdr:nvSpPr>
        <xdr:cNvPr id="1" name="Line 1"/>
        <xdr:cNvSpPr>
          <a:spLocks/>
        </xdr:cNvSpPr>
      </xdr:nvSpPr>
      <xdr:spPr>
        <a:xfrm>
          <a:off x="714375" y="21297900"/>
          <a:ext cx="3009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47</xdr:row>
      <xdr:rowOff>0</xdr:rowOff>
    </xdr:from>
    <xdr:to>
      <xdr:col>1</xdr:col>
      <xdr:colOff>3114675</xdr:colOff>
      <xdr:row>47</xdr:row>
      <xdr:rowOff>0</xdr:rowOff>
    </xdr:to>
    <xdr:sp>
      <xdr:nvSpPr>
        <xdr:cNvPr id="2" name="Line 1"/>
        <xdr:cNvSpPr>
          <a:spLocks/>
        </xdr:cNvSpPr>
      </xdr:nvSpPr>
      <xdr:spPr>
        <a:xfrm>
          <a:off x="714375" y="21297900"/>
          <a:ext cx="3009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Desktop\BoQ%20for%2043.7%20m2House%20-%20&#4314;&#4304;&#4326;&#4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43.7m2 house"/>
      <sheetName val="ELECTRICITY TYPE 43.7m2"/>
      <sheetName val="water sanitation43.7m2"/>
      <sheetName val="indicative quantities for 43,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N365"/>
  <sheetViews>
    <sheetView tabSelected="1" zoomScale="70" zoomScaleNormal="70" zoomScalePageLayoutView="0" workbookViewId="0" topLeftCell="A1">
      <selection activeCell="B360" sqref="B360"/>
    </sheetView>
  </sheetViews>
  <sheetFormatPr defaultColWidth="9.140625" defaultRowHeight="12.75"/>
  <cols>
    <col min="1" max="1" width="6.140625" style="125" customWidth="1"/>
    <col min="2" max="2" width="107.57421875" style="125" customWidth="1"/>
    <col min="3" max="3" width="1.421875" style="125" customWidth="1"/>
    <col min="4" max="4" width="11.421875" style="125" customWidth="1"/>
    <col min="5" max="5" width="1.8515625" style="125" customWidth="1"/>
    <col min="6" max="6" width="10.28125" style="125" customWidth="1"/>
    <col min="7" max="7" width="1.57421875" style="125" customWidth="1"/>
    <col min="8" max="8" width="16.140625" style="125" customWidth="1"/>
    <col min="9" max="9" width="2.00390625" style="125" customWidth="1"/>
    <col min="10" max="10" width="21.7109375" style="125" bestFit="1" customWidth="1"/>
    <col min="11" max="12" width="9.140625" style="125" customWidth="1"/>
    <col min="13" max="13" width="13.57421875" style="125" bestFit="1" customWidth="1"/>
    <col min="14" max="16384" width="9.140625" style="125" customWidth="1"/>
  </cols>
  <sheetData>
    <row r="2" ht="10.5" customHeight="1" thickBot="1">
      <c r="A2" s="124"/>
    </row>
    <row r="3" spans="1:10" ht="23.25" customHeight="1">
      <c r="A3" s="336" t="s">
        <v>474</v>
      </c>
      <c r="B3" s="337"/>
      <c r="C3" s="221"/>
      <c r="D3" s="336" t="s">
        <v>55</v>
      </c>
      <c r="E3" s="338"/>
      <c r="F3" s="338"/>
      <c r="G3" s="338"/>
      <c r="H3" s="338"/>
      <c r="I3" s="338"/>
      <c r="J3" s="339"/>
    </row>
    <row r="4" spans="1:10" ht="23.25" customHeight="1" thickBot="1">
      <c r="A4" s="119"/>
      <c r="B4" s="222" t="s">
        <v>475</v>
      </c>
      <c r="C4" s="221"/>
      <c r="D4" s="340"/>
      <c r="E4" s="341"/>
      <c r="F4" s="341"/>
      <c r="G4" s="341"/>
      <c r="H4" s="341"/>
      <c r="I4" s="341"/>
      <c r="J4" s="342"/>
    </row>
    <row r="5" spans="1:10" ht="4.5" customHeight="1" thickBot="1">
      <c r="A5" s="223"/>
      <c r="B5" s="224"/>
      <c r="C5" s="221"/>
      <c r="D5" s="43"/>
      <c r="E5" s="43"/>
      <c r="F5" s="43"/>
      <c r="G5" s="43"/>
      <c r="H5" s="43"/>
      <c r="I5" s="43"/>
      <c r="J5" s="43"/>
    </row>
    <row r="6" spans="1:10" ht="19.5" customHeight="1">
      <c r="A6" s="336" t="s">
        <v>12</v>
      </c>
      <c r="B6" s="337"/>
      <c r="C6" s="221"/>
      <c r="D6" s="343"/>
      <c r="E6" s="344"/>
      <c r="F6" s="344"/>
      <c r="G6" s="344"/>
      <c r="H6" s="344"/>
      <c r="I6" s="344"/>
      <c r="J6" s="345"/>
    </row>
    <row r="7" spans="1:10" ht="19.5" customHeight="1" thickBot="1">
      <c r="A7" s="346" t="s">
        <v>93</v>
      </c>
      <c r="B7" s="347"/>
      <c r="C7" s="225"/>
      <c r="D7" s="330" t="s">
        <v>94</v>
      </c>
      <c r="E7" s="331"/>
      <c r="F7" s="331"/>
      <c r="G7" s="331"/>
      <c r="H7" s="331"/>
      <c r="I7" s="331"/>
      <c r="J7" s="332"/>
    </row>
    <row r="8" ht="31.5" customHeight="1" thickBot="1"/>
    <row r="9" spans="4:8" ht="4.5" customHeight="1" hidden="1" thickBot="1">
      <c r="D9" s="122"/>
      <c r="H9" s="122"/>
    </row>
    <row r="10" spans="1:10" ht="9.75" customHeight="1" thickBot="1">
      <c r="A10" s="128"/>
      <c r="B10" s="129"/>
      <c r="C10" s="129"/>
      <c r="D10" s="130"/>
      <c r="E10" s="129"/>
      <c r="F10" s="129"/>
      <c r="G10" s="129"/>
      <c r="H10" s="130"/>
      <c r="I10" s="129"/>
      <c r="J10" s="131"/>
    </row>
    <row r="11" spans="4:8" ht="9.75" customHeight="1">
      <c r="D11" s="122"/>
      <c r="H11" s="122"/>
    </row>
    <row r="12" ht="14.25">
      <c r="A12" s="16" t="s">
        <v>330</v>
      </c>
    </row>
    <row r="13" spans="1:8" ht="15" customHeight="1">
      <c r="A13" s="121" t="s">
        <v>60</v>
      </c>
      <c r="D13" s="122"/>
      <c r="H13" s="122"/>
    </row>
    <row r="14" spans="1:8" ht="12" customHeight="1" thickBot="1">
      <c r="A14" s="126"/>
      <c r="D14" s="122"/>
      <c r="H14" s="122"/>
    </row>
    <row r="15" spans="1:10" ht="19.5" customHeight="1">
      <c r="A15" s="132"/>
      <c r="B15" s="133" t="s">
        <v>331</v>
      </c>
      <c r="D15" s="134" t="s">
        <v>34</v>
      </c>
      <c r="E15" s="123"/>
      <c r="F15" s="134" t="s">
        <v>33</v>
      </c>
      <c r="G15" s="123"/>
      <c r="H15" s="219" t="s">
        <v>439</v>
      </c>
      <c r="I15" s="123"/>
      <c r="J15" s="220" t="s">
        <v>46</v>
      </c>
    </row>
    <row r="16" spans="1:10" ht="28.5" customHeight="1" thickBot="1">
      <c r="A16" s="135"/>
      <c r="B16" s="136" t="s">
        <v>95</v>
      </c>
      <c r="D16" s="137" t="s">
        <v>96</v>
      </c>
      <c r="E16" s="123"/>
      <c r="F16" s="137" t="s">
        <v>97</v>
      </c>
      <c r="G16" s="123"/>
      <c r="H16" s="137" t="s">
        <v>98</v>
      </c>
      <c r="I16" s="123"/>
      <c r="J16" s="137" t="s">
        <v>99</v>
      </c>
    </row>
    <row r="17" spans="4:10" ht="4.5" customHeight="1">
      <c r="D17" s="138"/>
      <c r="E17" s="138"/>
      <c r="F17" s="138"/>
      <c r="G17" s="138"/>
      <c r="H17" s="138"/>
      <c r="I17" s="138"/>
      <c r="J17" s="138"/>
    </row>
    <row r="18" spans="1:2" ht="9.75" customHeight="1" thickBot="1">
      <c r="A18" s="121"/>
      <c r="B18" s="121"/>
    </row>
    <row r="19" spans="1:10" ht="19.5" customHeight="1" thickBot="1">
      <c r="A19" s="139">
        <v>1</v>
      </c>
      <c r="B19" s="333" t="s">
        <v>440</v>
      </c>
      <c r="C19" s="280"/>
      <c r="D19" s="280"/>
      <c r="E19" s="280"/>
      <c r="F19" s="280"/>
      <c r="G19" s="280"/>
      <c r="H19" s="280"/>
      <c r="I19" s="280"/>
      <c r="J19" s="281"/>
    </row>
    <row r="20" spans="1:4" ht="3.75" customHeight="1" thickBot="1">
      <c r="A20" s="121"/>
      <c r="B20" s="121"/>
      <c r="D20" s="138"/>
    </row>
    <row r="21" spans="1:10" ht="17.25" customHeight="1">
      <c r="A21" s="297">
        <v>1.1</v>
      </c>
      <c r="B21" s="140" t="s">
        <v>332</v>
      </c>
      <c r="D21" s="141" t="s">
        <v>392</v>
      </c>
      <c r="F21" s="334">
        <v>2916</v>
      </c>
      <c r="G21" s="274" t="s">
        <v>14</v>
      </c>
      <c r="H21" s="275"/>
      <c r="I21" s="274"/>
      <c r="J21" s="277">
        <f>H21*F21</f>
        <v>0</v>
      </c>
    </row>
    <row r="22" spans="1:10" ht="18.75" customHeight="1" thickBot="1">
      <c r="A22" s="298"/>
      <c r="B22" s="143" t="s">
        <v>101</v>
      </c>
      <c r="D22" s="144" t="s">
        <v>393</v>
      </c>
      <c r="F22" s="335"/>
      <c r="G22" s="274"/>
      <c r="H22" s="276"/>
      <c r="I22" s="274"/>
      <c r="J22" s="278"/>
    </row>
    <row r="23" spans="1:4" ht="3.75" customHeight="1" thickBot="1">
      <c r="A23" s="121"/>
      <c r="B23" s="121"/>
      <c r="D23" s="138"/>
    </row>
    <row r="24" spans="1:10" ht="15" customHeight="1">
      <c r="A24" s="297">
        <v>1.2</v>
      </c>
      <c r="B24" s="140" t="s">
        <v>465</v>
      </c>
      <c r="D24" s="141" t="s">
        <v>392</v>
      </c>
      <c r="F24" s="328">
        <v>369</v>
      </c>
      <c r="G24" s="274" t="s">
        <v>14</v>
      </c>
      <c r="H24" s="275"/>
      <c r="J24" s="277">
        <f>H24*F24</f>
        <v>0</v>
      </c>
    </row>
    <row r="25" spans="1:10" ht="18.75" customHeight="1" thickBot="1">
      <c r="A25" s="298"/>
      <c r="B25" s="143" t="s">
        <v>102</v>
      </c>
      <c r="D25" s="144" t="s">
        <v>393</v>
      </c>
      <c r="F25" s="329"/>
      <c r="G25" s="274"/>
      <c r="H25" s="276"/>
      <c r="J25" s="278"/>
    </row>
    <row r="26" spans="1:4" ht="3.75" customHeight="1" thickBot="1">
      <c r="A26" s="122"/>
      <c r="B26" s="121"/>
      <c r="D26" s="138"/>
    </row>
    <row r="27" spans="1:10" ht="15" customHeight="1">
      <c r="A27" s="297">
        <v>1.3</v>
      </c>
      <c r="B27" s="140" t="s">
        <v>333</v>
      </c>
      <c r="D27" s="141" t="s">
        <v>392</v>
      </c>
      <c r="F27" s="328">
        <v>721</v>
      </c>
      <c r="G27" s="274" t="s">
        <v>14</v>
      </c>
      <c r="H27" s="275"/>
      <c r="J27" s="277">
        <f>H27*F27</f>
        <v>0</v>
      </c>
    </row>
    <row r="28" spans="1:10" ht="18.75" customHeight="1" thickBot="1">
      <c r="A28" s="298"/>
      <c r="B28" s="143" t="s">
        <v>103</v>
      </c>
      <c r="D28" s="144" t="s">
        <v>393</v>
      </c>
      <c r="F28" s="329"/>
      <c r="G28" s="274"/>
      <c r="H28" s="276"/>
      <c r="J28" s="278"/>
    </row>
    <row r="29" spans="1:4" ht="3.75" customHeight="1" thickBot="1">
      <c r="A29" s="122"/>
      <c r="B29" s="121"/>
      <c r="D29" s="138"/>
    </row>
    <row r="30" spans="1:10" ht="15.75" customHeight="1">
      <c r="A30" s="297">
        <v>1.4</v>
      </c>
      <c r="B30" s="140" t="s">
        <v>429</v>
      </c>
      <c r="D30" s="141" t="s">
        <v>394</v>
      </c>
      <c r="F30" s="328">
        <f>((3.4+4.2+1.9+1.4+0.9+0.9)*2+5.6+3.3+3.3+2+0.9+2)*3*0.15+((3.5+3.5+4.2+1.8+0.9+0.9)*2+5.6+2+0.9+0.9+3.4+5.6+5.6+3.5+3.5+2+0.9+0.9)*3*0.15+5.6*4*0.4*2.7+3*2*2.7*0.4</f>
        <v>78.777</v>
      </c>
      <c r="G30" s="274" t="s">
        <v>14</v>
      </c>
      <c r="H30" s="275"/>
      <c r="J30" s="277">
        <f>H30*F30</f>
        <v>0</v>
      </c>
    </row>
    <row r="31" spans="1:10" ht="18.75" customHeight="1" thickBot="1">
      <c r="A31" s="298"/>
      <c r="B31" s="143" t="s">
        <v>142</v>
      </c>
      <c r="D31" s="144" t="s">
        <v>395</v>
      </c>
      <c r="F31" s="329"/>
      <c r="G31" s="274"/>
      <c r="H31" s="276"/>
      <c r="J31" s="278"/>
    </row>
    <row r="32" spans="1:4" ht="3.75" customHeight="1" thickBot="1">
      <c r="A32" s="122"/>
      <c r="B32" s="121"/>
      <c r="D32" s="138"/>
    </row>
    <row r="33" spans="1:10" ht="15" customHeight="1">
      <c r="A33" s="297">
        <v>1.5</v>
      </c>
      <c r="B33" s="140" t="s">
        <v>334</v>
      </c>
      <c r="D33" s="141" t="s">
        <v>394</v>
      </c>
      <c r="F33" s="328">
        <f>23*0.9</f>
        <v>20.7</v>
      </c>
      <c r="G33" s="274" t="s">
        <v>14</v>
      </c>
      <c r="H33" s="275"/>
      <c r="J33" s="277">
        <f>H33*F33</f>
        <v>0</v>
      </c>
    </row>
    <row r="34" spans="1:10" ht="18.75" customHeight="1" thickBot="1">
      <c r="A34" s="298"/>
      <c r="B34" s="143" t="s">
        <v>143</v>
      </c>
      <c r="D34" s="144" t="s">
        <v>395</v>
      </c>
      <c r="F34" s="329"/>
      <c r="G34" s="274"/>
      <c r="H34" s="276"/>
      <c r="J34" s="278"/>
    </row>
    <row r="35" spans="1:4" ht="3.75" customHeight="1" thickBot="1">
      <c r="A35" s="122"/>
      <c r="B35" s="121"/>
      <c r="D35" s="138"/>
    </row>
    <row r="36" spans="1:10" ht="18.75" customHeight="1">
      <c r="A36" s="297">
        <v>1.6</v>
      </c>
      <c r="B36" s="140" t="s">
        <v>430</v>
      </c>
      <c r="D36" s="145" t="s">
        <v>52</v>
      </c>
      <c r="F36" s="328">
        <v>56</v>
      </c>
      <c r="G36" s="274" t="s">
        <v>14</v>
      </c>
      <c r="H36" s="275"/>
      <c r="J36" s="277">
        <f>H36*F36</f>
        <v>0</v>
      </c>
    </row>
    <row r="37" spans="1:10" ht="18.75" customHeight="1" thickBot="1">
      <c r="A37" s="298"/>
      <c r="B37" s="143" t="s">
        <v>144</v>
      </c>
      <c r="D37" s="146" t="s">
        <v>108</v>
      </c>
      <c r="F37" s="329"/>
      <c r="G37" s="274"/>
      <c r="H37" s="276"/>
      <c r="J37" s="278"/>
    </row>
    <row r="38" spans="1:4" ht="3.75" customHeight="1" thickBot="1">
      <c r="A38" s="122"/>
      <c r="B38" s="121"/>
      <c r="D38" s="138"/>
    </row>
    <row r="39" spans="1:10" ht="18.75" customHeight="1">
      <c r="A39" s="297">
        <v>1.7</v>
      </c>
      <c r="B39" s="147" t="s">
        <v>466</v>
      </c>
      <c r="D39" s="141" t="s">
        <v>392</v>
      </c>
      <c r="F39" s="291">
        <v>840</v>
      </c>
      <c r="G39" s="274" t="s">
        <v>14</v>
      </c>
      <c r="H39" s="275"/>
      <c r="J39" s="277">
        <f>H39*F39</f>
        <v>0</v>
      </c>
    </row>
    <row r="40" spans="1:10" ht="18.75" thickBot="1">
      <c r="A40" s="298"/>
      <c r="B40" s="143" t="s">
        <v>105</v>
      </c>
      <c r="D40" s="144" t="s">
        <v>393</v>
      </c>
      <c r="F40" s="292"/>
      <c r="G40" s="274"/>
      <c r="H40" s="276"/>
      <c r="J40" s="278"/>
    </row>
    <row r="41" spans="1:4" ht="3.75" customHeight="1" thickBot="1">
      <c r="A41" s="122"/>
      <c r="B41" s="121"/>
      <c r="D41" s="138"/>
    </row>
    <row r="42" spans="1:10" ht="18.75" customHeight="1">
      <c r="A42" s="297">
        <v>1.8</v>
      </c>
      <c r="B42" s="147" t="s">
        <v>335</v>
      </c>
      <c r="D42" s="141" t="s">
        <v>392</v>
      </c>
      <c r="F42" s="291">
        <v>76</v>
      </c>
      <c r="G42" s="274" t="s">
        <v>14</v>
      </c>
      <c r="H42" s="275"/>
      <c r="J42" s="277">
        <f>H42*F42</f>
        <v>0</v>
      </c>
    </row>
    <row r="43" spans="1:10" ht="18.75" thickBot="1">
      <c r="A43" s="298"/>
      <c r="B43" s="143" t="s">
        <v>325</v>
      </c>
      <c r="D43" s="144" t="s">
        <v>393</v>
      </c>
      <c r="F43" s="292"/>
      <c r="G43" s="274"/>
      <c r="H43" s="276"/>
      <c r="J43" s="278"/>
    </row>
    <row r="44" spans="1:4" ht="3.75" customHeight="1" thickBot="1">
      <c r="A44" s="122"/>
      <c r="B44" s="121"/>
      <c r="D44" s="138"/>
    </row>
    <row r="45" spans="1:10" ht="18.75" customHeight="1">
      <c r="A45" s="297">
        <v>1.9</v>
      </c>
      <c r="B45" s="147" t="s">
        <v>338</v>
      </c>
      <c r="D45" s="141" t="s">
        <v>394</v>
      </c>
      <c r="F45" s="291">
        <v>240</v>
      </c>
      <c r="G45" s="274" t="s">
        <v>14</v>
      </c>
      <c r="H45" s="275"/>
      <c r="J45" s="277">
        <f>H45*F45</f>
        <v>0</v>
      </c>
    </row>
    <row r="46" spans="1:10" ht="18.75" thickBot="1">
      <c r="A46" s="298"/>
      <c r="B46" s="143" t="s">
        <v>336</v>
      </c>
      <c r="D46" s="144" t="s">
        <v>395</v>
      </c>
      <c r="F46" s="292"/>
      <c r="G46" s="274"/>
      <c r="H46" s="276"/>
      <c r="J46" s="278"/>
    </row>
    <row r="47" spans="1:4" ht="3.75" customHeight="1" thickBot="1">
      <c r="A47" s="122"/>
      <c r="B47" s="121"/>
      <c r="D47" s="138"/>
    </row>
    <row r="48" spans="1:10" ht="18.75" customHeight="1">
      <c r="A48" s="282">
        <v>1.1</v>
      </c>
      <c r="B48" s="147" t="s">
        <v>337</v>
      </c>
      <c r="D48" s="141" t="s">
        <v>394</v>
      </c>
      <c r="F48" s="291">
        <f>F21*0.05+F24*0.05+F27*0.08+F30+F33+F36*0.18*0.15+F39*0.04+5+F45</f>
        <v>601.519</v>
      </c>
      <c r="G48" s="274" t="s">
        <v>14</v>
      </c>
      <c r="H48" s="275"/>
      <c r="J48" s="277">
        <f>H48*F48</f>
        <v>0</v>
      </c>
    </row>
    <row r="49" spans="1:10" ht="18.75" thickBot="1">
      <c r="A49" s="283"/>
      <c r="B49" s="143" t="s">
        <v>104</v>
      </c>
      <c r="D49" s="144" t="s">
        <v>395</v>
      </c>
      <c r="F49" s="292"/>
      <c r="G49" s="274"/>
      <c r="H49" s="276"/>
      <c r="J49" s="278"/>
    </row>
    <row r="50" spans="1:4" ht="6.75" customHeight="1" thickBot="1">
      <c r="A50" s="122"/>
      <c r="B50" s="126"/>
      <c r="D50" s="138"/>
    </row>
    <row r="51" spans="1:10" ht="18" customHeight="1" thickBot="1">
      <c r="A51" s="122"/>
      <c r="B51" s="121"/>
      <c r="D51" s="138"/>
      <c r="F51" s="286" t="s">
        <v>0</v>
      </c>
      <c r="G51" s="287"/>
      <c r="H51" s="288"/>
      <c r="J51" s="149">
        <f>SUM(J21:J49)</f>
        <v>0</v>
      </c>
    </row>
    <row r="52" spans="1:4" ht="5.25" customHeight="1" thickBot="1">
      <c r="A52" s="122"/>
      <c r="B52" s="121"/>
      <c r="D52" s="138"/>
    </row>
    <row r="53" spans="1:10" ht="18" customHeight="1" thickBot="1">
      <c r="A53" s="139">
        <v>2</v>
      </c>
      <c r="B53" s="280" t="s">
        <v>35</v>
      </c>
      <c r="C53" s="280"/>
      <c r="D53" s="280"/>
      <c r="E53" s="280"/>
      <c r="F53" s="280"/>
      <c r="G53" s="280"/>
      <c r="H53" s="280"/>
      <c r="I53" s="280"/>
      <c r="J53" s="281"/>
    </row>
    <row r="54" spans="1:4" ht="15">
      <c r="A54" s="16" t="s">
        <v>29</v>
      </c>
      <c r="B54" s="150"/>
      <c r="D54" s="138"/>
    </row>
    <row r="55" spans="1:4" ht="31.5" customHeight="1" thickBot="1">
      <c r="A55" s="327" t="s">
        <v>36</v>
      </c>
      <c r="B55" s="327"/>
      <c r="D55" s="138"/>
    </row>
    <row r="56" spans="1:4" ht="6.75" customHeight="1" thickBot="1">
      <c r="A56" s="121"/>
      <c r="B56" s="121"/>
      <c r="D56" s="138"/>
    </row>
    <row r="57" spans="1:10" ht="18.75" customHeight="1">
      <c r="A57" s="297">
        <v>2.1</v>
      </c>
      <c r="B57" s="151" t="s">
        <v>441</v>
      </c>
      <c r="D57" s="145" t="s">
        <v>392</v>
      </c>
      <c r="F57" s="284">
        <f>1120-641</f>
        <v>479</v>
      </c>
      <c r="G57" s="274" t="s">
        <v>14</v>
      </c>
      <c r="H57" s="275"/>
      <c r="J57" s="277">
        <f>H57*F57</f>
        <v>0</v>
      </c>
    </row>
    <row r="58" spans="1:10" ht="18.75" customHeight="1" thickBot="1">
      <c r="A58" s="298"/>
      <c r="B58" s="152" t="s">
        <v>485</v>
      </c>
      <c r="D58" s="153" t="s">
        <v>396</v>
      </c>
      <c r="F58" s="285"/>
      <c r="G58" s="274"/>
      <c r="H58" s="276"/>
      <c r="J58" s="278">
        <f>H58*F58</f>
        <v>0</v>
      </c>
    </row>
    <row r="59" spans="1:4" ht="3.75" customHeight="1" thickBot="1">
      <c r="A59" s="122"/>
      <c r="B59" s="121"/>
      <c r="D59" s="138"/>
    </row>
    <row r="60" spans="1:10" ht="18.75" customHeight="1">
      <c r="A60" s="297">
        <v>2.2</v>
      </c>
      <c r="B60" s="151" t="s">
        <v>487</v>
      </c>
      <c r="D60" s="145" t="s">
        <v>397</v>
      </c>
      <c r="F60" s="284">
        <f>0.36*14.2</f>
        <v>5.111999999999999</v>
      </c>
      <c r="G60" s="274" t="s">
        <v>14</v>
      </c>
      <c r="H60" s="275"/>
      <c r="J60" s="277">
        <f>H60*F60</f>
        <v>0</v>
      </c>
    </row>
    <row r="61" spans="1:10" ht="18.75" customHeight="1" thickBot="1">
      <c r="A61" s="298">
        <v>2.6</v>
      </c>
      <c r="B61" s="152" t="s">
        <v>488</v>
      </c>
      <c r="D61" s="153" t="s">
        <v>398</v>
      </c>
      <c r="F61" s="285"/>
      <c r="G61" s="274" t="s">
        <v>14</v>
      </c>
      <c r="H61" s="276"/>
      <c r="J61" s="278">
        <f>H61*F61</f>
        <v>0</v>
      </c>
    </row>
    <row r="62" spans="1:4" ht="3.75" customHeight="1" thickBot="1">
      <c r="A62" s="122"/>
      <c r="B62" s="154"/>
      <c r="D62" s="138"/>
    </row>
    <row r="63" spans="1:10" ht="18.75" customHeight="1">
      <c r="A63" s="289">
        <v>2.3</v>
      </c>
      <c r="B63" s="151" t="s">
        <v>489</v>
      </c>
      <c r="D63" s="145" t="s">
        <v>397</v>
      </c>
      <c r="F63" s="284">
        <f>160*0.1</f>
        <v>16</v>
      </c>
      <c r="G63" s="142" t="s">
        <v>14</v>
      </c>
      <c r="H63" s="275"/>
      <c r="J63" s="277">
        <f>H63*F63</f>
        <v>0</v>
      </c>
    </row>
    <row r="64" spans="1:10" ht="18.75" customHeight="1" thickBot="1">
      <c r="A64" s="290"/>
      <c r="B64" s="152" t="s">
        <v>490</v>
      </c>
      <c r="D64" s="153" t="s">
        <v>398</v>
      </c>
      <c r="F64" s="285"/>
      <c r="G64" s="142" t="s">
        <v>14</v>
      </c>
      <c r="H64" s="276"/>
      <c r="J64" s="278"/>
    </row>
    <row r="65" spans="1:4" ht="6.75" customHeight="1" thickBot="1">
      <c r="A65" s="122"/>
      <c r="B65" s="155"/>
      <c r="D65" s="138"/>
    </row>
    <row r="66" spans="1:10" ht="18" customHeight="1" thickBot="1">
      <c r="A66" s="122"/>
      <c r="B66" s="155"/>
      <c r="D66" s="138"/>
      <c r="F66" s="286" t="s">
        <v>7</v>
      </c>
      <c r="G66" s="287"/>
      <c r="H66" s="288"/>
      <c r="J66" s="149">
        <f>SUM(J57:J64)</f>
        <v>0</v>
      </c>
    </row>
    <row r="67" spans="1:10" ht="6.75" customHeight="1" thickBot="1">
      <c r="A67" s="122"/>
      <c r="B67" s="155"/>
      <c r="D67" s="138"/>
      <c r="F67" s="156"/>
      <c r="G67" s="156"/>
      <c r="H67" s="156"/>
      <c r="J67" s="157"/>
    </row>
    <row r="68" spans="1:10" ht="18" customHeight="1" thickBot="1">
      <c r="A68" s="139">
        <v>3</v>
      </c>
      <c r="B68" s="280" t="s">
        <v>37</v>
      </c>
      <c r="C68" s="280"/>
      <c r="D68" s="280"/>
      <c r="E68" s="280"/>
      <c r="F68" s="280"/>
      <c r="G68" s="280"/>
      <c r="H68" s="280"/>
      <c r="I68" s="280"/>
      <c r="J68" s="281"/>
    </row>
    <row r="69" spans="1:4" ht="9.75" customHeight="1">
      <c r="A69" s="122"/>
      <c r="B69" s="121"/>
      <c r="D69" s="138"/>
    </row>
    <row r="70" spans="1:2" ht="19.5" customHeight="1">
      <c r="A70" s="323">
        <v>3.1</v>
      </c>
      <c r="B70" s="158" t="s">
        <v>339</v>
      </c>
    </row>
    <row r="71" spans="1:2" ht="19.5" customHeight="1">
      <c r="A71" s="324">
        <v>3.1</v>
      </c>
      <c r="B71" s="160" t="s">
        <v>50</v>
      </c>
    </row>
    <row r="72" spans="1:10" ht="18" customHeight="1">
      <c r="A72" s="159"/>
      <c r="B72" s="161" t="s">
        <v>399</v>
      </c>
      <c r="D72" s="325" t="s">
        <v>62</v>
      </c>
      <c r="F72" s="162">
        <v>0.5</v>
      </c>
      <c r="G72" s="125" t="s">
        <v>14</v>
      </c>
      <c r="H72" s="163"/>
      <c r="J72" s="164">
        <f>H72*F72</f>
        <v>0</v>
      </c>
    </row>
    <row r="73" spans="1:10" ht="18" customHeight="1">
      <c r="A73" s="165"/>
      <c r="B73" s="166" t="s">
        <v>400</v>
      </c>
      <c r="D73" s="326"/>
      <c r="F73" s="167">
        <v>0.8</v>
      </c>
      <c r="G73" s="125" t="s">
        <v>14</v>
      </c>
      <c r="H73" s="163"/>
      <c r="J73" s="164">
        <f>H73*F73</f>
        <v>0</v>
      </c>
    </row>
    <row r="74" spans="1:4" ht="6.75" customHeight="1" thickBot="1">
      <c r="A74" s="122"/>
      <c r="D74" s="138"/>
    </row>
    <row r="75" spans="1:10" ht="24" customHeight="1" thickBot="1">
      <c r="A75" s="122"/>
      <c r="B75" s="121"/>
      <c r="D75" s="138"/>
      <c r="F75" s="286" t="s">
        <v>6</v>
      </c>
      <c r="G75" s="287"/>
      <c r="H75" s="288"/>
      <c r="J75" s="149">
        <f>SUM(J72:J73)</f>
        <v>0</v>
      </c>
    </row>
    <row r="76" spans="1:10" ht="18.75" customHeight="1" thickBot="1">
      <c r="A76" s="122"/>
      <c r="B76" s="121"/>
      <c r="D76" s="138"/>
      <c r="F76" s="168"/>
      <c r="G76" s="168"/>
      <c r="H76" s="168"/>
      <c r="J76" s="169"/>
    </row>
    <row r="77" spans="1:4" ht="6.75" customHeight="1" hidden="1" thickBot="1">
      <c r="A77" s="122"/>
      <c r="B77" s="121"/>
      <c r="D77" s="138"/>
    </row>
    <row r="78" spans="1:10" ht="18" customHeight="1" thickBot="1">
      <c r="A78" s="139">
        <v>4</v>
      </c>
      <c r="B78" s="280" t="s">
        <v>401</v>
      </c>
      <c r="C78" s="280"/>
      <c r="D78" s="280"/>
      <c r="E78" s="280"/>
      <c r="F78" s="280"/>
      <c r="G78" s="280"/>
      <c r="H78" s="280"/>
      <c r="I78" s="280"/>
      <c r="J78" s="281"/>
    </row>
    <row r="79" spans="1:4" ht="3.75" customHeight="1" thickBot="1">
      <c r="A79" s="122"/>
      <c r="B79" s="121"/>
      <c r="D79" s="138"/>
    </row>
    <row r="80" spans="1:10" ht="18.75" customHeight="1">
      <c r="A80" s="297">
        <v>4.1</v>
      </c>
      <c r="B80" s="151" t="s">
        <v>431</v>
      </c>
      <c r="D80" s="145" t="s">
        <v>397</v>
      </c>
      <c r="F80" s="284">
        <f>(2.15+2.56+2.75+3.85+5.6+3.15+1.6+5.6+3.85+2.75+2+2.15+2.41+4.2+4.15+2.8+1.4+5.6+1.9+1.4+2+1.7+4.2+4.15+1.4+2.8+2)*3*0.12</f>
        <v>28.8432</v>
      </c>
      <c r="G80" s="274" t="s">
        <v>14</v>
      </c>
      <c r="H80" s="275"/>
      <c r="J80" s="277">
        <f>H80*F80</f>
        <v>0</v>
      </c>
    </row>
    <row r="81" spans="1:10" ht="18" customHeight="1" thickBot="1">
      <c r="A81" s="298">
        <v>4.1</v>
      </c>
      <c r="B81" s="152" t="s">
        <v>145</v>
      </c>
      <c r="D81" s="153" t="s">
        <v>398</v>
      </c>
      <c r="F81" s="285"/>
      <c r="G81" s="274" t="s">
        <v>14</v>
      </c>
      <c r="H81" s="276"/>
      <c r="J81" s="278">
        <f>H81*F81</f>
        <v>0</v>
      </c>
    </row>
    <row r="82" spans="1:4" ht="6.75" customHeight="1" thickBot="1">
      <c r="A82" s="170"/>
      <c r="B82" s="171"/>
      <c r="D82" s="138"/>
    </row>
    <row r="83" spans="1:10" ht="18" customHeight="1" thickBot="1">
      <c r="A83" s="122"/>
      <c r="B83" s="155"/>
      <c r="D83" s="138"/>
      <c r="F83" s="286" t="s">
        <v>5</v>
      </c>
      <c r="G83" s="287"/>
      <c r="H83" s="288"/>
      <c r="J83" s="149">
        <f>J80</f>
        <v>0</v>
      </c>
    </row>
    <row r="84" spans="1:4" ht="6.75" customHeight="1" thickBot="1">
      <c r="A84" s="122"/>
      <c r="B84" s="121"/>
      <c r="D84" s="138"/>
    </row>
    <row r="85" spans="1:10" ht="18" customHeight="1" thickBot="1">
      <c r="A85" s="139">
        <v>5</v>
      </c>
      <c r="B85" s="280" t="s">
        <v>402</v>
      </c>
      <c r="C85" s="280"/>
      <c r="D85" s="280"/>
      <c r="E85" s="280"/>
      <c r="F85" s="280"/>
      <c r="G85" s="280"/>
      <c r="H85" s="280"/>
      <c r="I85" s="280"/>
      <c r="J85" s="281"/>
    </row>
    <row r="86" spans="1:4" ht="9.75" customHeight="1">
      <c r="A86" s="121"/>
      <c r="B86" s="121"/>
      <c r="D86" s="138"/>
    </row>
    <row r="87" spans="1:4" ht="18" customHeight="1">
      <c r="A87" s="121" t="s">
        <v>15</v>
      </c>
      <c r="B87" s="121"/>
      <c r="D87" s="138"/>
    </row>
    <row r="88" spans="1:4" ht="24" customHeight="1">
      <c r="A88" s="121" t="s">
        <v>38</v>
      </c>
      <c r="B88" s="121"/>
      <c r="D88" s="138"/>
    </row>
    <row r="89" spans="1:4" ht="9.75" customHeight="1" thickBot="1">
      <c r="A89" s="121"/>
      <c r="B89" s="121"/>
      <c r="D89" s="138"/>
    </row>
    <row r="90" spans="1:10" ht="18.75" customHeight="1">
      <c r="A90" s="297">
        <v>5.1</v>
      </c>
      <c r="B90" s="151" t="s">
        <v>432</v>
      </c>
      <c r="D90" s="145" t="s">
        <v>397</v>
      </c>
      <c r="F90" s="284">
        <v>42.8</v>
      </c>
      <c r="G90" s="274" t="s">
        <v>14</v>
      </c>
      <c r="H90" s="275"/>
      <c r="J90" s="277">
        <f>H90*F90</f>
        <v>0</v>
      </c>
    </row>
    <row r="91" spans="1:10" ht="39" customHeight="1" thickBot="1">
      <c r="A91" s="298">
        <v>5.1</v>
      </c>
      <c r="B91" s="152" t="s">
        <v>106</v>
      </c>
      <c r="D91" s="153" t="s">
        <v>395</v>
      </c>
      <c r="F91" s="285"/>
      <c r="G91" s="274" t="s">
        <v>14</v>
      </c>
      <c r="H91" s="276"/>
      <c r="J91" s="278">
        <f>H91*F91</f>
        <v>0</v>
      </c>
    </row>
    <row r="92" spans="1:4" ht="3.75" customHeight="1" thickBot="1">
      <c r="A92" s="121"/>
      <c r="B92" s="172"/>
      <c r="D92" s="138"/>
    </row>
    <row r="93" spans="1:10" ht="18.75" customHeight="1">
      <c r="A93" s="297">
        <v>5.2</v>
      </c>
      <c r="B93" s="151" t="s">
        <v>433</v>
      </c>
      <c r="D93" s="145" t="s">
        <v>52</v>
      </c>
      <c r="F93" s="284">
        <v>2</v>
      </c>
      <c r="G93" s="274" t="s">
        <v>14</v>
      </c>
      <c r="H93" s="275"/>
      <c r="J93" s="277">
        <f>H93*F93</f>
        <v>0</v>
      </c>
    </row>
    <row r="94" spans="1:10" ht="18.75" customHeight="1" thickBot="1">
      <c r="A94" s="298">
        <v>5.2</v>
      </c>
      <c r="B94" s="152" t="s">
        <v>107</v>
      </c>
      <c r="D94" s="146" t="s">
        <v>108</v>
      </c>
      <c r="F94" s="285"/>
      <c r="G94" s="274" t="s">
        <v>14</v>
      </c>
      <c r="H94" s="276"/>
      <c r="J94" s="278">
        <f>H94*F94</f>
        <v>0</v>
      </c>
    </row>
    <row r="95" spans="1:4" ht="3.75" customHeight="1" thickBot="1">
      <c r="A95" s="121"/>
      <c r="B95" s="172"/>
      <c r="D95" s="138"/>
    </row>
    <row r="96" spans="1:10" ht="18.75" customHeight="1">
      <c r="A96" s="297">
        <v>5.3</v>
      </c>
      <c r="B96" s="151" t="s">
        <v>463</v>
      </c>
      <c r="D96" s="145" t="s">
        <v>392</v>
      </c>
      <c r="F96" s="284">
        <v>840</v>
      </c>
      <c r="G96" s="274" t="s">
        <v>14</v>
      </c>
      <c r="H96" s="275"/>
      <c r="J96" s="277">
        <f>H96*F96</f>
        <v>0</v>
      </c>
    </row>
    <row r="97" spans="1:10" ht="18.75" customHeight="1" thickBot="1">
      <c r="A97" s="298">
        <v>5.3</v>
      </c>
      <c r="B97" s="152" t="s">
        <v>462</v>
      </c>
      <c r="D97" s="153" t="s">
        <v>404</v>
      </c>
      <c r="F97" s="285"/>
      <c r="G97" s="274" t="s">
        <v>14</v>
      </c>
      <c r="H97" s="276"/>
      <c r="J97" s="278">
        <f>H97*F97</f>
        <v>0</v>
      </c>
    </row>
    <row r="98" spans="1:4" ht="3.75" customHeight="1" thickBot="1">
      <c r="A98" s="121"/>
      <c r="B98" s="126"/>
      <c r="D98" s="138"/>
    </row>
    <row r="99" spans="1:10" ht="18.75" customHeight="1">
      <c r="A99" s="297">
        <v>5.4</v>
      </c>
      <c r="B99" s="151" t="s">
        <v>461</v>
      </c>
      <c r="D99" s="145" t="s">
        <v>13</v>
      </c>
      <c r="F99" s="284">
        <v>98</v>
      </c>
      <c r="G99" s="274" t="s">
        <v>14</v>
      </c>
      <c r="H99" s="275"/>
      <c r="J99" s="277">
        <f>H99*F99</f>
        <v>0</v>
      </c>
    </row>
    <row r="100" spans="1:10" ht="33" customHeight="1" thickBot="1">
      <c r="A100" s="298">
        <v>10.1</v>
      </c>
      <c r="B100" s="152" t="s">
        <v>460</v>
      </c>
      <c r="D100" s="146" t="s">
        <v>64</v>
      </c>
      <c r="F100" s="285"/>
      <c r="G100" s="274" t="s">
        <v>14</v>
      </c>
      <c r="H100" s="276"/>
      <c r="J100" s="278">
        <f>H100*F100</f>
        <v>0</v>
      </c>
    </row>
    <row r="101" spans="1:4" ht="3.75" customHeight="1" thickBot="1">
      <c r="A101" s="121"/>
      <c r="B101" s="126"/>
      <c r="D101" s="138"/>
    </row>
    <row r="102" spans="1:10" ht="15" customHeight="1">
      <c r="A102" s="297">
        <v>5.5</v>
      </c>
      <c r="B102" s="151" t="s">
        <v>467</v>
      </c>
      <c r="D102" s="145" t="s">
        <v>13</v>
      </c>
      <c r="F102" s="284">
        <v>14</v>
      </c>
      <c r="G102" s="274" t="s">
        <v>14</v>
      </c>
      <c r="H102" s="275"/>
      <c r="J102" s="277">
        <f>H102*F102</f>
        <v>0</v>
      </c>
    </row>
    <row r="103" spans="1:10" ht="16.5" thickBot="1">
      <c r="A103" s="298">
        <v>10.1</v>
      </c>
      <c r="B103" s="152" t="s">
        <v>459</v>
      </c>
      <c r="D103" s="146" t="s">
        <v>64</v>
      </c>
      <c r="F103" s="285"/>
      <c r="G103" s="274" t="s">
        <v>14</v>
      </c>
      <c r="H103" s="276"/>
      <c r="J103" s="278">
        <f>H103*F103</f>
        <v>0</v>
      </c>
    </row>
    <row r="104" spans="1:4" ht="3.75" customHeight="1" thickBot="1">
      <c r="A104" s="121"/>
      <c r="B104" s="126"/>
      <c r="D104" s="138"/>
    </row>
    <row r="105" spans="1:10" ht="14.25">
      <c r="A105" s="297">
        <v>5.6</v>
      </c>
      <c r="B105" s="151" t="s">
        <v>458</v>
      </c>
      <c r="D105" s="145" t="s">
        <v>52</v>
      </c>
      <c r="F105" s="284">
        <v>16</v>
      </c>
      <c r="G105" s="274" t="s">
        <v>14</v>
      </c>
      <c r="H105" s="275"/>
      <c r="J105" s="277">
        <f>H105*F105</f>
        <v>0</v>
      </c>
    </row>
    <row r="106" spans="1:10" ht="33" customHeight="1" thickBot="1">
      <c r="A106" s="298">
        <v>10.2</v>
      </c>
      <c r="B106" s="152" t="s">
        <v>457</v>
      </c>
      <c r="D106" s="146" t="s">
        <v>63</v>
      </c>
      <c r="F106" s="285"/>
      <c r="G106" s="274" t="s">
        <v>14</v>
      </c>
      <c r="H106" s="276"/>
      <c r="J106" s="278">
        <f>H106*F106</f>
        <v>0</v>
      </c>
    </row>
    <row r="107" spans="1:4" ht="3.75" customHeight="1" thickBot="1">
      <c r="A107" s="121"/>
      <c r="B107" s="126"/>
      <c r="D107" s="138"/>
    </row>
    <row r="108" spans="1:10" ht="14.25">
      <c r="A108" s="297">
        <v>5.7</v>
      </c>
      <c r="B108" s="151" t="s">
        <v>471</v>
      </c>
      <c r="D108" s="145" t="s">
        <v>13</v>
      </c>
      <c r="F108" s="284">
        <v>132</v>
      </c>
      <c r="G108" s="274" t="s">
        <v>14</v>
      </c>
      <c r="H108" s="275"/>
      <c r="J108" s="277">
        <f>H108*F108</f>
        <v>0</v>
      </c>
    </row>
    <row r="109" spans="1:10" ht="33" customHeight="1" thickBot="1">
      <c r="A109" s="298">
        <v>10.2</v>
      </c>
      <c r="B109" s="152" t="s">
        <v>456</v>
      </c>
      <c r="D109" s="146" t="s">
        <v>64</v>
      </c>
      <c r="F109" s="285"/>
      <c r="G109" s="274" t="s">
        <v>14</v>
      </c>
      <c r="H109" s="276"/>
      <c r="J109" s="278">
        <f>H109*F109</f>
        <v>0</v>
      </c>
    </row>
    <row r="110" spans="1:4" ht="3.75" customHeight="1" thickBot="1">
      <c r="A110" s="121"/>
      <c r="B110" s="126"/>
      <c r="D110" s="138"/>
    </row>
    <row r="111" spans="1:10" ht="17.25" customHeight="1">
      <c r="A111" s="297">
        <v>5.8</v>
      </c>
      <c r="B111" s="151" t="s">
        <v>472</v>
      </c>
      <c r="D111" s="145" t="s">
        <v>13</v>
      </c>
      <c r="F111" s="284">
        <v>112</v>
      </c>
      <c r="G111" s="274" t="s">
        <v>14</v>
      </c>
      <c r="H111" s="275"/>
      <c r="J111" s="277">
        <f>H111*F111</f>
        <v>0</v>
      </c>
    </row>
    <row r="112" spans="1:10" ht="33" customHeight="1" thickBot="1">
      <c r="A112" s="298">
        <v>10.2</v>
      </c>
      <c r="B112" s="152" t="s">
        <v>455</v>
      </c>
      <c r="D112" s="146" t="s">
        <v>64</v>
      </c>
      <c r="F112" s="285"/>
      <c r="G112" s="274" t="s">
        <v>14</v>
      </c>
      <c r="H112" s="276"/>
      <c r="J112" s="278">
        <f>H112*F112</f>
        <v>0</v>
      </c>
    </row>
    <row r="113" spans="1:4" ht="3.75" customHeight="1" thickBot="1">
      <c r="A113" s="121"/>
      <c r="B113" s="126"/>
      <c r="D113" s="138"/>
    </row>
    <row r="114" spans="1:10" ht="28.5">
      <c r="A114" s="289">
        <v>5.9</v>
      </c>
      <c r="B114" s="207" t="s">
        <v>469</v>
      </c>
      <c r="D114" s="145" t="s">
        <v>13</v>
      </c>
      <c r="F114" s="284">
        <v>90</v>
      </c>
      <c r="G114" s="274" t="s">
        <v>14</v>
      </c>
      <c r="H114" s="275"/>
      <c r="J114" s="277">
        <f>H114*F114</f>
        <v>0</v>
      </c>
    </row>
    <row r="115" spans="1:10" ht="29.25" customHeight="1" thickBot="1">
      <c r="A115" s="290">
        <v>10.2</v>
      </c>
      <c r="B115" s="256" t="s">
        <v>454</v>
      </c>
      <c r="D115" s="146" t="s">
        <v>64</v>
      </c>
      <c r="F115" s="285"/>
      <c r="G115" s="274" t="s">
        <v>14</v>
      </c>
      <c r="H115" s="276"/>
      <c r="J115" s="278">
        <f>H115*F115</f>
        <v>0</v>
      </c>
    </row>
    <row r="116" spans="1:4" ht="3.75" customHeight="1" thickBot="1">
      <c r="A116" s="121"/>
      <c r="B116" s="126"/>
      <c r="D116" s="138"/>
    </row>
    <row r="117" spans="1:10" ht="17.25" customHeight="1">
      <c r="A117" s="282">
        <v>5.1</v>
      </c>
      <c r="B117" s="151" t="s">
        <v>340</v>
      </c>
      <c r="D117" s="145" t="s">
        <v>13</v>
      </c>
      <c r="F117" s="284">
        <v>92</v>
      </c>
      <c r="G117" s="274" t="s">
        <v>14</v>
      </c>
      <c r="H117" s="275"/>
      <c r="J117" s="277">
        <f>H117*F117</f>
        <v>0</v>
      </c>
    </row>
    <row r="118" spans="1:10" ht="30.75" customHeight="1" thickBot="1">
      <c r="A118" s="283">
        <v>10.2</v>
      </c>
      <c r="B118" s="152" t="s">
        <v>341</v>
      </c>
      <c r="D118" s="146" t="s">
        <v>64</v>
      </c>
      <c r="F118" s="285"/>
      <c r="G118" s="274" t="s">
        <v>14</v>
      </c>
      <c r="H118" s="276"/>
      <c r="J118" s="278">
        <f>H118*F118</f>
        <v>0</v>
      </c>
    </row>
    <row r="119" spans="1:4" ht="6.75" customHeight="1" thickBot="1">
      <c r="A119" s="170"/>
      <c r="B119" s="171"/>
      <c r="D119" s="138"/>
    </row>
    <row r="120" spans="1:10" ht="18" customHeight="1" thickBot="1">
      <c r="A120" s="121"/>
      <c r="B120" s="121"/>
      <c r="D120" s="138"/>
      <c r="F120" s="286" t="s">
        <v>4</v>
      </c>
      <c r="G120" s="287"/>
      <c r="H120" s="288"/>
      <c r="J120" s="149">
        <f>J96+J90+J93+J99+J102+J105+J108+J111+J117+J114</f>
        <v>0</v>
      </c>
    </row>
    <row r="121" spans="1:10" ht="4.5" customHeight="1" thickBot="1">
      <c r="A121" s="121"/>
      <c r="B121" s="121"/>
      <c r="D121" s="138"/>
      <c r="F121" s="148"/>
      <c r="G121" s="148"/>
      <c r="H121" s="148"/>
      <c r="J121" s="173"/>
    </row>
    <row r="122" spans="1:10" ht="18" customHeight="1" thickBot="1">
      <c r="A122" s="139">
        <v>6</v>
      </c>
      <c r="B122" s="279" t="s">
        <v>493</v>
      </c>
      <c r="C122" s="280"/>
      <c r="D122" s="280"/>
      <c r="E122" s="280"/>
      <c r="F122" s="280"/>
      <c r="G122" s="280"/>
      <c r="H122" s="280"/>
      <c r="I122" s="280"/>
      <c r="J122" s="281"/>
    </row>
    <row r="123" spans="1:4" ht="9.75" customHeight="1" thickBot="1">
      <c r="A123" s="121"/>
      <c r="B123" s="121"/>
      <c r="D123" s="138"/>
    </row>
    <row r="124" spans="1:10" ht="27" customHeight="1">
      <c r="A124" s="297">
        <v>6.1</v>
      </c>
      <c r="B124" s="207" t="s">
        <v>470</v>
      </c>
      <c r="D124" s="145" t="s">
        <v>13</v>
      </c>
      <c r="F124" s="284">
        <v>25</v>
      </c>
      <c r="G124" s="274" t="s">
        <v>14</v>
      </c>
      <c r="H124" s="275"/>
      <c r="J124" s="277">
        <f>H124*F124</f>
        <v>0</v>
      </c>
    </row>
    <row r="125" spans="1:10" ht="34.5" customHeight="1" thickBot="1">
      <c r="A125" s="298">
        <v>6.1</v>
      </c>
      <c r="B125" s="256" t="s">
        <v>450</v>
      </c>
      <c r="D125" s="146" t="s">
        <v>64</v>
      </c>
      <c r="F125" s="285"/>
      <c r="G125" s="274" t="s">
        <v>14</v>
      </c>
      <c r="H125" s="276"/>
      <c r="J125" s="278">
        <f>H125*F125</f>
        <v>0</v>
      </c>
    </row>
    <row r="126" spans="1:4" ht="3.75" customHeight="1" thickBot="1">
      <c r="A126" s="121"/>
      <c r="B126" s="121"/>
      <c r="D126" s="138"/>
    </row>
    <row r="127" spans="1:10" ht="20.25" customHeight="1">
      <c r="A127" s="297">
        <v>6.2</v>
      </c>
      <c r="B127" s="151" t="s">
        <v>434</v>
      </c>
      <c r="D127" s="145" t="s">
        <v>392</v>
      </c>
      <c r="F127" s="284">
        <v>2917</v>
      </c>
      <c r="G127" s="274" t="s">
        <v>14</v>
      </c>
      <c r="H127" s="275"/>
      <c r="J127" s="277">
        <f>H127*F127</f>
        <v>0</v>
      </c>
    </row>
    <row r="128" spans="1:10" ht="18.75" thickBot="1">
      <c r="A128" s="298">
        <v>6.1</v>
      </c>
      <c r="B128" s="152" t="s">
        <v>342</v>
      </c>
      <c r="D128" s="153" t="s">
        <v>393</v>
      </c>
      <c r="F128" s="285"/>
      <c r="G128" s="274" t="s">
        <v>14</v>
      </c>
      <c r="H128" s="276"/>
      <c r="J128" s="278">
        <f>H128*F128</f>
        <v>0</v>
      </c>
    </row>
    <row r="129" spans="1:8" ht="3.75" customHeight="1" thickBot="1">
      <c r="A129" s="174"/>
      <c r="B129" s="155"/>
      <c r="D129" s="138"/>
      <c r="F129" s="123"/>
      <c r="G129" s="138"/>
      <c r="H129" s="138"/>
    </row>
    <row r="130" spans="1:10" ht="16.5">
      <c r="A130" s="297">
        <v>6.3</v>
      </c>
      <c r="B130" s="151" t="s">
        <v>435</v>
      </c>
      <c r="D130" s="145" t="s">
        <v>392</v>
      </c>
      <c r="F130" s="284">
        <f>360*0.4+66*0.2*6</f>
        <v>223.2</v>
      </c>
      <c r="G130" s="274" t="s">
        <v>14</v>
      </c>
      <c r="H130" s="275"/>
      <c r="J130" s="277">
        <f>H130*F130</f>
        <v>0</v>
      </c>
    </row>
    <row r="131" spans="1:10" ht="18.75" customHeight="1" thickBot="1">
      <c r="A131" s="298">
        <v>6.1</v>
      </c>
      <c r="B131" s="152" t="s">
        <v>343</v>
      </c>
      <c r="D131" s="153" t="s">
        <v>393</v>
      </c>
      <c r="F131" s="285"/>
      <c r="G131" s="274" t="s">
        <v>14</v>
      </c>
      <c r="H131" s="276"/>
      <c r="J131" s="278">
        <f>H131*F131</f>
        <v>0</v>
      </c>
    </row>
    <row r="132" spans="1:8" ht="3.75" customHeight="1" thickBot="1">
      <c r="A132" s="174"/>
      <c r="B132" s="155"/>
      <c r="D132" s="138"/>
      <c r="F132" s="123"/>
      <c r="G132" s="138"/>
      <c r="H132" s="138"/>
    </row>
    <row r="133" spans="1:10" ht="18.75" customHeight="1">
      <c r="A133" s="297">
        <v>6.4</v>
      </c>
      <c r="B133" s="151" t="s">
        <v>344</v>
      </c>
      <c r="D133" s="145" t="s">
        <v>392</v>
      </c>
      <c r="F133" s="284">
        <f>130*8-53*1.8*1.8-8*1.3*2.4-5*1*2.4</f>
        <v>831.3199999999999</v>
      </c>
      <c r="G133" s="274" t="s">
        <v>14</v>
      </c>
      <c r="H133" s="275"/>
      <c r="J133" s="277">
        <f>H133*F133</f>
        <v>0</v>
      </c>
    </row>
    <row r="134" spans="1:10" ht="18.75" customHeight="1" thickBot="1">
      <c r="A134" s="298">
        <v>6.2</v>
      </c>
      <c r="B134" s="152" t="s">
        <v>451</v>
      </c>
      <c r="D134" s="153" t="s">
        <v>393</v>
      </c>
      <c r="F134" s="285"/>
      <c r="G134" s="274" t="s">
        <v>14</v>
      </c>
      <c r="H134" s="276"/>
      <c r="J134" s="278">
        <f>H134*F134</f>
        <v>0</v>
      </c>
    </row>
    <row r="135" spans="1:8" ht="3.75" customHeight="1" thickBot="1">
      <c r="A135" s="174"/>
      <c r="B135" s="155"/>
      <c r="D135" s="138"/>
      <c r="F135" s="123"/>
      <c r="G135" s="138"/>
      <c r="H135" s="138"/>
    </row>
    <row r="136" spans="1:10" ht="18.75" customHeight="1">
      <c r="A136" s="297">
        <v>6.5</v>
      </c>
      <c r="B136" s="151" t="s">
        <v>345</v>
      </c>
      <c r="D136" s="145" t="s">
        <v>392</v>
      </c>
      <c r="F136" s="284">
        <f>F133*1.05</f>
        <v>872.886</v>
      </c>
      <c r="G136" s="274" t="s">
        <v>14</v>
      </c>
      <c r="H136" s="275"/>
      <c r="J136" s="277">
        <f>H136*F136</f>
        <v>0</v>
      </c>
    </row>
    <row r="137" spans="1:10" ht="18.75" customHeight="1" thickBot="1">
      <c r="A137" s="298">
        <v>6.3</v>
      </c>
      <c r="B137" s="152" t="s">
        <v>346</v>
      </c>
      <c r="D137" s="153" t="s">
        <v>393</v>
      </c>
      <c r="F137" s="285"/>
      <c r="G137" s="274" t="s">
        <v>14</v>
      </c>
      <c r="H137" s="276"/>
      <c r="J137" s="278">
        <f>H137*F137</f>
        <v>0</v>
      </c>
    </row>
    <row r="138" spans="1:10" s="251" customFormat="1" ht="6.75" customHeight="1" thickBot="1">
      <c r="A138" s="262"/>
      <c r="B138" s="263"/>
      <c r="D138" s="271"/>
      <c r="F138" s="265"/>
      <c r="G138" s="265"/>
      <c r="H138" s="260"/>
      <c r="J138" s="260"/>
    </row>
    <row r="139" spans="1:10" ht="18.75" customHeight="1" thickBot="1">
      <c r="A139" s="122"/>
      <c r="B139" s="155"/>
      <c r="D139" s="138"/>
      <c r="F139" s="286" t="s">
        <v>3</v>
      </c>
      <c r="G139" s="287"/>
      <c r="H139" s="288"/>
      <c r="J139" s="149">
        <f>J127+J133+J136+J130+J204</f>
        <v>0</v>
      </c>
    </row>
    <row r="140" spans="1:4" ht="6.75" customHeight="1" thickBot="1">
      <c r="A140" s="121"/>
      <c r="B140" s="121"/>
      <c r="D140" s="138"/>
    </row>
    <row r="141" spans="1:10" ht="18" customHeight="1" thickBot="1">
      <c r="A141" s="180">
        <v>7</v>
      </c>
      <c r="B141" s="181" t="s">
        <v>39</v>
      </c>
      <c r="C141" s="182"/>
      <c r="D141" s="183"/>
      <c r="E141" s="182"/>
      <c r="F141" s="182"/>
      <c r="G141" s="182"/>
      <c r="H141" s="182"/>
      <c r="I141" s="182"/>
      <c r="J141" s="184"/>
    </row>
    <row r="142" spans="1:4" ht="9.75" customHeight="1" thickBot="1">
      <c r="A142" s="121"/>
      <c r="B142" s="121"/>
      <c r="D142" s="138"/>
    </row>
    <row r="143" spans="1:4" ht="6" customHeight="1" hidden="1" thickBot="1">
      <c r="A143" s="121"/>
      <c r="B143" s="155"/>
      <c r="D143" s="138"/>
    </row>
    <row r="144" spans="1:4" ht="6.75" customHeight="1" hidden="1" thickBot="1">
      <c r="A144" s="121"/>
      <c r="B144" s="172"/>
      <c r="D144" s="138"/>
    </row>
    <row r="145" spans="1:10" ht="16.5">
      <c r="A145" s="297">
        <v>7.1</v>
      </c>
      <c r="B145" s="151" t="s">
        <v>453</v>
      </c>
      <c r="D145" s="145" t="s">
        <v>392</v>
      </c>
      <c r="F145" s="284">
        <v>363.2</v>
      </c>
      <c r="G145" s="274" t="s">
        <v>14</v>
      </c>
      <c r="H145" s="294"/>
      <c r="J145" s="277">
        <f>H145*F145</f>
        <v>0</v>
      </c>
    </row>
    <row r="146" spans="1:10" ht="20.25" customHeight="1" thickBot="1">
      <c r="A146" s="298">
        <v>7.3</v>
      </c>
      <c r="B146" s="152" t="s">
        <v>452</v>
      </c>
      <c r="D146" s="153" t="s">
        <v>396</v>
      </c>
      <c r="F146" s="285"/>
      <c r="G146" s="274" t="s">
        <v>14</v>
      </c>
      <c r="H146" s="295"/>
      <c r="J146" s="278">
        <f>H146*F146</f>
        <v>0</v>
      </c>
    </row>
    <row r="147" spans="1:4" ht="3.75" customHeight="1" thickBot="1">
      <c r="A147" s="121"/>
      <c r="B147" s="172"/>
      <c r="D147" s="138"/>
    </row>
    <row r="148" spans="1:10" ht="16.5" customHeight="1">
      <c r="A148" s="297">
        <v>7.2</v>
      </c>
      <c r="B148" s="151" t="s">
        <v>347</v>
      </c>
      <c r="D148" s="145" t="s">
        <v>392</v>
      </c>
      <c r="F148" s="284">
        <v>840</v>
      </c>
      <c r="G148" s="274" t="s">
        <v>14</v>
      </c>
      <c r="H148" s="275"/>
      <c r="J148" s="277">
        <f>H148*F148</f>
        <v>0</v>
      </c>
    </row>
    <row r="149" spans="1:10" ht="18.75" thickBot="1">
      <c r="A149" s="298">
        <v>7.2</v>
      </c>
      <c r="B149" s="152" t="s">
        <v>405</v>
      </c>
      <c r="D149" s="153" t="s">
        <v>396</v>
      </c>
      <c r="F149" s="285"/>
      <c r="G149" s="274" t="s">
        <v>14</v>
      </c>
      <c r="H149" s="276"/>
      <c r="J149" s="278">
        <f>H149*F149</f>
        <v>0</v>
      </c>
    </row>
    <row r="150" spans="1:4" ht="3.75" customHeight="1" thickBot="1">
      <c r="A150" s="121"/>
      <c r="B150" s="172"/>
      <c r="D150" s="138"/>
    </row>
    <row r="151" spans="1:10" ht="16.5" customHeight="1">
      <c r="A151" s="297">
        <v>7.3</v>
      </c>
      <c r="B151" s="151" t="s">
        <v>348</v>
      </c>
      <c r="D151" s="145" t="s">
        <v>394</v>
      </c>
      <c r="F151" s="284">
        <f>50</f>
        <v>50</v>
      </c>
      <c r="G151" s="274" t="s">
        <v>14</v>
      </c>
      <c r="H151" s="275"/>
      <c r="J151" s="277">
        <f>H151*F151</f>
        <v>0</v>
      </c>
    </row>
    <row r="152" spans="1:10" ht="21" customHeight="1" thickBot="1">
      <c r="A152" s="298">
        <v>7.2</v>
      </c>
      <c r="B152" s="152" t="s">
        <v>349</v>
      </c>
      <c r="D152" s="146" t="s">
        <v>413</v>
      </c>
      <c r="F152" s="285"/>
      <c r="G152" s="274" t="s">
        <v>14</v>
      </c>
      <c r="H152" s="276"/>
      <c r="J152" s="278">
        <f>H152*F152</f>
        <v>0</v>
      </c>
    </row>
    <row r="153" spans="1:10" ht="3.75" customHeight="1" thickBot="1">
      <c r="A153" s="185"/>
      <c r="B153" s="186"/>
      <c r="D153" s="187"/>
      <c r="F153" s="142"/>
      <c r="G153" s="142"/>
      <c r="H153" s="188"/>
      <c r="J153" s="189"/>
    </row>
    <row r="154" spans="1:10" ht="16.5">
      <c r="A154" s="297">
        <v>7.4</v>
      </c>
      <c r="B154" s="151" t="s">
        <v>468</v>
      </c>
      <c r="D154" s="145" t="s">
        <v>394</v>
      </c>
      <c r="F154" s="284">
        <v>42</v>
      </c>
      <c r="G154" s="274" t="s">
        <v>14</v>
      </c>
      <c r="H154" s="294"/>
      <c r="J154" s="277">
        <f>H154*F154</f>
        <v>0</v>
      </c>
    </row>
    <row r="155" spans="1:10" ht="18.75" thickBot="1">
      <c r="A155" s="298">
        <v>7.3</v>
      </c>
      <c r="B155" s="152" t="s">
        <v>350</v>
      </c>
      <c r="D155" s="146" t="s">
        <v>413</v>
      </c>
      <c r="F155" s="285"/>
      <c r="G155" s="274" t="s">
        <v>14</v>
      </c>
      <c r="H155" s="295"/>
      <c r="J155" s="278">
        <f>H155*F155</f>
        <v>0</v>
      </c>
    </row>
    <row r="156" spans="1:4" ht="10.5" customHeight="1" thickBot="1">
      <c r="A156" s="170"/>
      <c r="B156" s="171"/>
      <c r="D156" s="138"/>
    </row>
    <row r="157" spans="1:10" ht="18" customHeight="1" thickBot="1">
      <c r="A157" s="121"/>
      <c r="B157" s="121"/>
      <c r="D157" s="138"/>
      <c r="F157" s="286" t="s">
        <v>2</v>
      </c>
      <c r="G157" s="287"/>
      <c r="H157" s="288"/>
      <c r="J157" s="149">
        <f>SUM(J144:J155)</f>
        <v>0</v>
      </c>
    </row>
    <row r="158" spans="4:8" s="121" customFormat="1" ht="14.25" customHeight="1" thickBot="1">
      <c r="D158" s="122"/>
      <c r="F158" s="123"/>
      <c r="G158" s="122"/>
      <c r="H158" s="122"/>
    </row>
    <row r="159" spans="1:8" ht="6.75" customHeight="1" hidden="1" thickBot="1">
      <c r="A159" s="121"/>
      <c r="B159" s="121"/>
      <c r="D159" s="138"/>
      <c r="F159" s="123"/>
      <c r="G159" s="138"/>
      <c r="H159" s="138"/>
    </row>
    <row r="160" spans="1:10" ht="18" customHeight="1" thickBot="1">
      <c r="A160" s="180">
        <v>8</v>
      </c>
      <c r="B160" s="280" t="s">
        <v>406</v>
      </c>
      <c r="C160" s="280"/>
      <c r="D160" s="280"/>
      <c r="E160" s="280"/>
      <c r="F160" s="280"/>
      <c r="G160" s="280"/>
      <c r="H160" s="280"/>
      <c r="I160" s="280"/>
      <c r="J160" s="281"/>
    </row>
    <row r="161" spans="1:4" ht="9.75" customHeight="1" thickBot="1">
      <c r="A161" s="121"/>
      <c r="B161" s="121"/>
      <c r="D161" s="138"/>
    </row>
    <row r="162" spans="1:10" ht="18.75" customHeight="1">
      <c r="A162" s="297">
        <v>8.1</v>
      </c>
      <c r="B162" s="151" t="s">
        <v>491</v>
      </c>
      <c r="D162" s="145" t="s">
        <v>392</v>
      </c>
      <c r="F162" s="284">
        <v>641.2</v>
      </c>
      <c r="G162" s="274" t="s">
        <v>14</v>
      </c>
      <c r="H162" s="275"/>
      <c r="J162" s="277">
        <f>H162*F162</f>
        <v>0</v>
      </c>
    </row>
    <row r="163" spans="1:10" ht="18.75" customHeight="1" thickBot="1">
      <c r="A163" s="298">
        <v>8.1</v>
      </c>
      <c r="B163" s="152" t="s">
        <v>492</v>
      </c>
      <c r="D163" s="153" t="s">
        <v>396</v>
      </c>
      <c r="F163" s="285"/>
      <c r="G163" s="274" t="s">
        <v>14</v>
      </c>
      <c r="H163" s="276"/>
      <c r="J163" s="278">
        <f>H163*F163</f>
        <v>0</v>
      </c>
    </row>
    <row r="164" spans="1:4" ht="3.75" customHeight="1" thickBot="1">
      <c r="A164" s="121"/>
      <c r="B164" s="172"/>
      <c r="D164" s="138"/>
    </row>
    <row r="165" spans="1:10" ht="19.5" customHeight="1">
      <c r="A165" s="297">
        <v>8.2</v>
      </c>
      <c r="B165" s="151" t="s">
        <v>351</v>
      </c>
      <c r="D165" s="145" t="s">
        <v>392</v>
      </c>
      <c r="F165" s="284">
        <v>132</v>
      </c>
      <c r="G165" s="274" t="s">
        <v>14</v>
      </c>
      <c r="H165" s="275"/>
      <c r="J165" s="277">
        <f>H165*F165</f>
        <v>0</v>
      </c>
    </row>
    <row r="166" spans="1:10" ht="36.75" customHeight="1" thickBot="1">
      <c r="A166" s="298">
        <v>8.1</v>
      </c>
      <c r="B166" s="152" t="s">
        <v>486</v>
      </c>
      <c r="D166" s="153" t="s">
        <v>396</v>
      </c>
      <c r="F166" s="285"/>
      <c r="G166" s="274" t="s">
        <v>14</v>
      </c>
      <c r="H166" s="276"/>
      <c r="J166" s="278">
        <f>H166*F166</f>
        <v>0</v>
      </c>
    </row>
    <row r="167" spans="1:4" ht="3.75" customHeight="1" thickBot="1">
      <c r="A167" s="121"/>
      <c r="B167" s="172"/>
      <c r="D167" s="138"/>
    </row>
    <row r="168" spans="1:10" ht="30.75" customHeight="1">
      <c r="A168" s="297">
        <v>8.3</v>
      </c>
      <c r="B168" s="190" t="s">
        <v>381</v>
      </c>
      <c r="D168" s="145" t="s">
        <v>392</v>
      </c>
      <c r="F168" s="291">
        <v>26</v>
      </c>
      <c r="G168" s="274" t="s">
        <v>14</v>
      </c>
      <c r="H168" s="275"/>
      <c r="J168" s="277">
        <f>H168*F168</f>
        <v>0</v>
      </c>
    </row>
    <row r="169" spans="1:10" ht="43.5" customHeight="1" thickBot="1">
      <c r="A169" s="298">
        <v>8.1</v>
      </c>
      <c r="B169" s="191" t="s">
        <v>317</v>
      </c>
      <c r="D169" s="153" t="s">
        <v>396</v>
      </c>
      <c r="F169" s="292"/>
      <c r="G169" s="274" t="s">
        <v>14</v>
      </c>
      <c r="H169" s="276"/>
      <c r="J169" s="278">
        <f>H169*F169</f>
        <v>0</v>
      </c>
    </row>
    <row r="170" spans="1:6" ht="3.75" customHeight="1" thickBot="1">
      <c r="A170" s="121"/>
      <c r="B170" s="172"/>
      <c r="D170" s="138"/>
      <c r="F170" s="251"/>
    </row>
    <row r="171" spans="1:10" ht="24.75" customHeight="1">
      <c r="A171" s="297">
        <v>8.4</v>
      </c>
      <c r="B171" s="190" t="s">
        <v>382</v>
      </c>
      <c r="D171" s="145" t="s">
        <v>403</v>
      </c>
      <c r="F171" s="291">
        <v>25</v>
      </c>
      <c r="G171" s="274" t="s">
        <v>14</v>
      </c>
      <c r="H171" s="275"/>
      <c r="J171" s="277">
        <f>H171*F171</f>
        <v>0</v>
      </c>
    </row>
    <row r="172" spans="1:10" ht="31.5" customHeight="1" thickBot="1">
      <c r="A172" s="298">
        <v>8.1</v>
      </c>
      <c r="B172" s="191" t="s">
        <v>313</v>
      </c>
      <c r="D172" s="153" t="s">
        <v>396</v>
      </c>
      <c r="F172" s="292"/>
      <c r="G172" s="274" t="s">
        <v>14</v>
      </c>
      <c r="H172" s="276"/>
      <c r="J172" s="278">
        <f>H172*F172</f>
        <v>0</v>
      </c>
    </row>
    <row r="173" spans="1:6" ht="3.75" customHeight="1" thickBot="1">
      <c r="A173" s="121"/>
      <c r="B173" s="172"/>
      <c r="D173" s="138"/>
      <c r="F173" s="251"/>
    </row>
    <row r="174" spans="1:10" ht="14.25" customHeight="1">
      <c r="A174" s="297">
        <v>8.5</v>
      </c>
      <c r="B174" s="190" t="s">
        <v>383</v>
      </c>
      <c r="D174" s="145" t="s">
        <v>392</v>
      </c>
      <c r="F174" s="291">
        <v>35</v>
      </c>
      <c r="G174" s="274" t="s">
        <v>14</v>
      </c>
      <c r="H174" s="275"/>
      <c r="J174" s="277">
        <f>H174*F174</f>
        <v>0</v>
      </c>
    </row>
    <row r="175" spans="1:10" ht="22.5" customHeight="1" thickBot="1">
      <c r="A175" s="298">
        <v>8.1</v>
      </c>
      <c r="B175" s="191" t="s">
        <v>314</v>
      </c>
      <c r="D175" s="153" t="s">
        <v>396</v>
      </c>
      <c r="F175" s="292"/>
      <c r="G175" s="274" t="s">
        <v>14</v>
      </c>
      <c r="H175" s="276"/>
      <c r="J175" s="278">
        <f>H175*F175</f>
        <v>0</v>
      </c>
    </row>
    <row r="176" spans="1:4" ht="3.75" customHeight="1" thickBot="1">
      <c r="A176" s="121"/>
      <c r="B176" s="172"/>
      <c r="D176" s="138"/>
    </row>
    <row r="177" spans="1:10" ht="18.75" customHeight="1">
      <c r="A177" s="297">
        <v>8.6</v>
      </c>
      <c r="B177" s="151" t="s">
        <v>437</v>
      </c>
      <c r="D177" s="145" t="s">
        <v>392</v>
      </c>
      <c r="F177" s="284">
        <v>490</v>
      </c>
      <c r="G177" s="274" t="s">
        <v>14</v>
      </c>
      <c r="H177" s="275"/>
      <c r="J177" s="277">
        <f>H177*F177</f>
        <v>0</v>
      </c>
    </row>
    <row r="178" spans="1:10" ht="18.75" customHeight="1" thickBot="1">
      <c r="A178" s="298"/>
      <c r="B178" s="152" t="s">
        <v>58</v>
      </c>
      <c r="D178" s="153" t="s">
        <v>396</v>
      </c>
      <c r="F178" s="285"/>
      <c r="G178" s="274" t="s">
        <v>14</v>
      </c>
      <c r="H178" s="276"/>
      <c r="J178" s="278">
        <f>H178*F178</f>
        <v>0</v>
      </c>
    </row>
    <row r="179" spans="1:4" ht="3.75" customHeight="1" thickBot="1">
      <c r="A179" s="121"/>
      <c r="B179" s="172"/>
      <c r="D179" s="138"/>
    </row>
    <row r="180" spans="1:10" ht="16.5" customHeight="1">
      <c r="A180" s="297">
        <v>8.7</v>
      </c>
      <c r="B180" s="151" t="s">
        <v>352</v>
      </c>
      <c r="D180" s="145" t="s">
        <v>403</v>
      </c>
      <c r="F180" s="284">
        <f>28+15</f>
        <v>43</v>
      </c>
      <c r="G180" s="274" t="s">
        <v>14</v>
      </c>
      <c r="H180" s="275"/>
      <c r="J180" s="277">
        <f>H180*F180</f>
        <v>0</v>
      </c>
    </row>
    <row r="181" spans="1:10" ht="18.75" thickBot="1">
      <c r="A181" s="298"/>
      <c r="B181" s="152" t="s">
        <v>146</v>
      </c>
      <c r="D181" s="153" t="s">
        <v>396</v>
      </c>
      <c r="F181" s="285"/>
      <c r="G181" s="274" t="s">
        <v>14</v>
      </c>
      <c r="H181" s="276"/>
      <c r="J181" s="278">
        <f>H181*F181</f>
        <v>0</v>
      </c>
    </row>
    <row r="182" spans="1:4" ht="3.75" customHeight="1" thickBot="1">
      <c r="A182" s="170"/>
      <c r="B182" s="171"/>
      <c r="D182" s="138"/>
    </row>
    <row r="183" spans="1:10" ht="16.5" customHeight="1">
      <c r="A183" s="297">
        <v>8.8</v>
      </c>
      <c r="B183" s="151" t="s">
        <v>355</v>
      </c>
      <c r="D183" s="145" t="s">
        <v>407</v>
      </c>
      <c r="F183" s="284">
        <f>2916-F192+1122</f>
        <v>3737</v>
      </c>
      <c r="G183" s="274" t="s">
        <v>14</v>
      </c>
      <c r="H183" s="275"/>
      <c r="J183" s="277">
        <f>H183*F183</f>
        <v>0</v>
      </c>
    </row>
    <row r="184" spans="1:10" ht="17.25" customHeight="1" thickBot="1">
      <c r="A184" s="298">
        <v>8.6</v>
      </c>
      <c r="B184" s="152" t="s">
        <v>100</v>
      </c>
      <c r="D184" s="153" t="s">
        <v>396</v>
      </c>
      <c r="F184" s="285"/>
      <c r="G184" s="274" t="s">
        <v>14</v>
      </c>
      <c r="H184" s="276"/>
      <c r="J184" s="278">
        <f>H184*F184</f>
        <v>0</v>
      </c>
    </row>
    <row r="185" spans="1:10" ht="3.75" customHeight="1" thickBot="1">
      <c r="A185" s="122"/>
      <c r="B185" s="176"/>
      <c r="D185" s="177"/>
      <c r="F185" s="138"/>
      <c r="G185" s="138"/>
      <c r="H185" s="178"/>
      <c r="J185" s="178"/>
    </row>
    <row r="186" spans="1:10" ht="16.5" customHeight="1">
      <c r="A186" s="297">
        <v>8.9</v>
      </c>
      <c r="B186" s="151" t="s">
        <v>353</v>
      </c>
      <c r="D186" s="145" t="s">
        <v>403</v>
      </c>
      <c r="F186" s="284">
        <v>1122</v>
      </c>
      <c r="G186" s="274" t="s">
        <v>14</v>
      </c>
      <c r="H186" s="275"/>
      <c r="J186" s="277">
        <f>H186*F186</f>
        <v>0</v>
      </c>
    </row>
    <row r="187" spans="1:10" ht="17.25" customHeight="1" thickBot="1">
      <c r="A187" s="298">
        <v>8.6</v>
      </c>
      <c r="B187" s="152" t="s">
        <v>56</v>
      </c>
      <c r="D187" s="153" t="s">
        <v>396</v>
      </c>
      <c r="F187" s="285"/>
      <c r="G187" s="274" t="s">
        <v>14</v>
      </c>
      <c r="H187" s="276"/>
      <c r="J187" s="278">
        <f>H187*F187</f>
        <v>0</v>
      </c>
    </row>
    <row r="188" spans="1:4" ht="3.75" customHeight="1" thickBot="1">
      <c r="A188" s="192"/>
      <c r="B188" s="192"/>
      <c r="D188" s="138"/>
    </row>
    <row r="189" spans="1:10" ht="18.75" customHeight="1">
      <c r="A189" s="282">
        <v>8.1</v>
      </c>
      <c r="B189" s="151" t="s">
        <v>354</v>
      </c>
      <c r="D189" s="145" t="s">
        <v>392</v>
      </c>
      <c r="F189" s="284">
        <f>F183-F186</f>
        <v>2615</v>
      </c>
      <c r="G189" s="274" t="s">
        <v>14</v>
      </c>
      <c r="H189" s="275"/>
      <c r="J189" s="277">
        <f>H189*F189</f>
        <v>0</v>
      </c>
    </row>
    <row r="190" spans="1:10" ht="18.75" customHeight="1" thickBot="1">
      <c r="A190" s="283">
        <v>8.7</v>
      </c>
      <c r="B190" s="152" t="s">
        <v>57</v>
      </c>
      <c r="D190" s="153" t="s">
        <v>396</v>
      </c>
      <c r="F190" s="285"/>
      <c r="G190" s="274" t="s">
        <v>14</v>
      </c>
      <c r="H190" s="276"/>
      <c r="J190" s="278">
        <f>H190*F190</f>
        <v>0</v>
      </c>
    </row>
    <row r="191" spans="1:4" ht="3.75" customHeight="1" thickBot="1">
      <c r="A191" s="121"/>
      <c r="B191" s="155"/>
      <c r="D191" s="138"/>
    </row>
    <row r="192" spans="1:10" ht="20.25" customHeight="1">
      <c r="A192" s="282">
        <v>8.11</v>
      </c>
      <c r="B192" s="151" t="s">
        <v>356</v>
      </c>
      <c r="D192" s="145" t="s">
        <v>392</v>
      </c>
      <c r="F192" s="284">
        <v>301</v>
      </c>
      <c r="G192" s="274" t="s">
        <v>14</v>
      </c>
      <c r="H192" s="275"/>
      <c r="J192" s="277">
        <f>H192*F192</f>
        <v>0</v>
      </c>
    </row>
    <row r="193" spans="1:10" ht="18.75" thickBot="1">
      <c r="A193" s="283">
        <v>8.8</v>
      </c>
      <c r="B193" s="152" t="s">
        <v>408</v>
      </c>
      <c r="D193" s="153" t="s">
        <v>396</v>
      </c>
      <c r="F193" s="285"/>
      <c r="G193" s="274" t="s">
        <v>14</v>
      </c>
      <c r="H193" s="276"/>
      <c r="J193" s="278">
        <f>H193*F193</f>
        <v>0</v>
      </c>
    </row>
    <row r="194" spans="1:4" ht="3.75" customHeight="1" thickBot="1">
      <c r="A194" s="121"/>
      <c r="B194" s="155"/>
      <c r="D194" s="138"/>
    </row>
    <row r="195" spans="1:10" ht="18.75" customHeight="1">
      <c r="A195" s="282">
        <v>8.12</v>
      </c>
      <c r="B195" s="151" t="s">
        <v>357</v>
      </c>
      <c r="D195" s="145" t="s">
        <v>392</v>
      </c>
      <c r="F195" s="291">
        <f>15*1.8</f>
        <v>27</v>
      </c>
      <c r="G195" s="293" t="s">
        <v>14</v>
      </c>
      <c r="H195" s="294"/>
      <c r="J195" s="277">
        <f>H195*F195</f>
        <v>0</v>
      </c>
    </row>
    <row r="196" spans="1:10" ht="18.75" thickBot="1">
      <c r="A196" s="283">
        <v>8.8</v>
      </c>
      <c r="B196" s="152" t="s">
        <v>157</v>
      </c>
      <c r="D196" s="153" t="s">
        <v>396</v>
      </c>
      <c r="F196" s="292"/>
      <c r="G196" s="293" t="s">
        <v>14</v>
      </c>
      <c r="H196" s="295"/>
      <c r="J196" s="278">
        <f>H196*F196</f>
        <v>0</v>
      </c>
    </row>
    <row r="197" spans="1:4" ht="3.75" customHeight="1" thickBot="1">
      <c r="A197" s="121"/>
      <c r="B197" s="121"/>
      <c r="D197" s="138"/>
    </row>
    <row r="198" spans="1:10" ht="18.75" customHeight="1">
      <c r="A198" s="282">
        <v>8.13</v>
      </c>
      <c r="B198" s="151" t="s">
        <v>358</v>
      </c>
      <c r="D198" s="145" t="s">
        <v>54</v>
      </c>
      <c r="F198" s="284">
        <v>44</v>
      </c>
      <c r="G198" s="274" t="s">
        <v>14</v>
      </c>
      <c r="H198" s="275"/>
      <c r="J198" s="277">
        <f>H198*F198</f>
        <v>0</v>
      </c>
    </row>
    <row r="199" spans="1:10" ht="18.75" customHeight="1" thickBot="1">
      <c r="A199" s="283">
        <v>8.1</v>
      </c>
      <c r="B199" s="152" t="s">
        <v>154</v>
      </c>
      <c r="D199" s="146" t="s">
        <v>108</v>
      </c>
      <c r="F199" s="285"/>
      <c r="G199" s="274" t="s">
        <v>14</v>
      </c>
      <c r="H199" s="276"/>
      <c r="J199" s="278">
        <f>H199*F199</f>
        <v>0</v>
      </c>
    </row>
    <row r="200" spans="1:4" ht="3.75" customHeight="1" thickBot="1">
      <c r="A200" s="121"/>
      <c r="B200" s="121"/>
      <c r="D200" s="138"/>
    </row>
    <row r="201" spans="1:10" ht="18.75" customHeight="1">
      <c r="A201" s="282">
        <v>8.14</v>
      </c>
      <c r="B201" s="151" t="s">
        <v>360</v>
      </c>
      <c r="D201" s="193" t="s">
        <v>403</v>
      </c>
      <c r="F201" s="284">
        <v>108</v>
      </c>
      <c r="G201" s="274" t="s">
        <v>14</v>
      </c>
      <c r="H201" s="275"/>
      <c r="J201" s="277">
        <f>H201*F201</f>
        <v>0</v>
      </c>
    </row>
    <row r="202" spans="1:10" ht="18.75" customHeight="1" thickBot="1">
      <c r="A202" s="283">
        <v>8.1</v>
      </c>
      <c r="B202" s="152" t="s">
        <v>155</v>
      </c>
      <c r="D202" s="194" t="s">
        <v>396</v>
      </c>
      <c r="F202" s="285"/>
      <c r="G202" s="274" t="s">
        <v>14</v>
      </c>
      <c r="H202" s="276"/>
      <c r="J202" s="278">
        <f>H202*F202</f>
        <v>0</v>
      </c>
    </row>
    <row r="203" spans="1:4" ht="3.75" customHeight="1" thickBot="1">
      <c r="A203" s="121"/>
      <c r="B203" s="126"/>
      <c r="D203" s="138"/>
    </row>
    <row r="204" spans="1:10" ht="14.25">
      <c r="A204" s="297">
        <v>8.15</v>
      </c>
      <c r="B204" s="175" t="s">
        <v>436</v>
      </c>
      <c r="D204" s="145" t="s">
        <v>13</v>
      </c>
      <c r="F204" s="284">
        <v>641</v>
      </c>
      <c r="G204" s="274" t="s">
        <v>14</v>
      </c>
      <c r="H204" s="275"/>
      <c r="J204" s="277">
        <f>H204*F204</f>
        <v>0</v>
      </c>
    </row>
    <row r="205" spans="1:10" ht="16.5" thickBot="1">
      <c r="A205" s="298">
        <v>10.1</v>
      </c>
      <c r="B205" s="152" t="s">
        <v>156</v>
      </c>
      <c r="D205" s="146" t="s">
        <v>64</v>
      </c>
      <c r="F205" s="285"/>
      <c r="G205" s="274" t="s">
        <v>14</v>
      </c>
      <c r="H205" s="276"/>
      <c r="J205" s="278">
        <f>H205*F205</f>
        <v>0</v>
      </c>
    </row>
    <row r="206" spans="1:4" ht="3.75" customHeight="1" thickBot="1">
      <c r="A206" s="121"/>
      <c r="B206" s="121"/>
      <c r="D206" s="138"/>
    </row>
    <row r="207" spans="1:10" ht="18.75" customHeight="1">
      <c r="A207" s="282">
        <v>8.16</v>
      </c>
      <c r="B207" s="151" t="s">
        <v>359</v>
      </c>
      <c r="D207" s="193" t="s">
        <v>403</v>
      </c>
      <c r="F207" s="284">
        <v>216</v>
      </c>
      <c r="G207" s="274" t="s">
        <v>14</v>
      </c>
      <c r="H207" s="275"/>
      <c r="J207" s="277">
        <f>H207*F207</f>
        <v>0</v>
      </c>
    </row>
    <row r="208" spans="1:10" ht="18.75" customHeight="1" thickBot="1">
      <c r="A208" s="283">
        <v>8.1</v>
      </c>
      <c r="B208" s="152" t="s">
        <v>312</v>
      </c>
      <c r="D208" s="194" t="s">
        <v>396</v>
      </c>
      <c r="F208" s="285"/>
      <c r="G208" s="274" t="s">
        <v>14</v>
      </c>
      <c r="H208" s="276"/>
      <c r="J208" s="278">
        <f>H208*F208</f>
        <v>0</v>
      </c>
    </row>
    <row r="209" spans="1:4" ht="6" customHeight="1" thickBot="1">
      <c r="A209" s="192"/>
      <c r="B209" s="192"/>
      <c r="D209" s="138"/>
    </row>
    <row r="210" spans="1:10" ht="13.5" customHeight="1" thickBot="1">
      <c r="A210" s="121"/>
      <c r="B210" s="121"/>
      <c r="D210" s="138"/>
      <c r="F210" s="286" t="s">
        <v>1</v>
      </c>
      <c r="G210" s="287"/>
      <c r="H210" s="288"/>
      <c r="J210" s="149">
        <f>SUM(J162:J208)</f>
        <v>0</v>
      </c>
    </row>
    <row r="211" spans="1:4" ht="6" customHeight="1" thickBot="1">
      <c r="A211" s="121"/>
      <c r="B211" s="121"/>
      <c r="D211" s="138"/>
    </row>
    <row r="212" spans="1:10" ht="18" customHeight="1" thickBot="1">
      <c r="A212" s="180">
        <v>9</v>
      </c>
      <c r="B212" s="280" t="s">
        <v>40</v>
      </c>
      <c r="C212" s="280"/>
      <c r="D212" s="280"/>
      <c r="E212" s="280"/>
      <c r="F212" s="280"/>
      <c r="G212" s="280"/>
      <c r="H212" s="280"/>
      <c r="I212" s="280"/>
      <c r="J212" s="281"/>
    </row>
    <row r="213" spans="1:4" ht="9.75" customHeight="1" thickBot="1">
      <c r="A213" s="121"/>
      <c r="B213" s="121"/>
      <c r="D213" s="138"/>
    </row>
    <row r="214" spans="1:10" ht="28.5">
      <c r="A214" s="316">
        <v>9.1</v>
      </c>
      <c r="B214" s="151" t="s">
        <v>442</v>
      </c>
      <c r="D214" s="145" t="s">
        <v>54</v>
      </c>
      <c r="F214" s="318">
        <v>3</v>
      </c>
      <c r="G214" s="320" t="s">
        <v>14</v>
      </c>
      <c r="H214" s="314"/>
      <c r="I214" s="195"/>
      <c r="J214" s="321">
        <f>H214*F214</f>
        <v>0</v>
      </c>
    </row>
    <row r="215" spans="1:10" ht="34.5" customHeight="1" thickBot="1">
      <c r="A215" s="317">
        <v>9.1</v>
      </c>
      <c r="B215" s="152" t="s">
        <v>147</v>
      </c>
      <c r="D215" s="146" t="s">
        <v>108</v>
      </c>
      <c r="F215" s="319"/>
      <c r="G215" s="320" t="s">
        <v>14</v>
      </c>
      <c r="H215" s="315"/>
      <c r="I215" s="195"/>
      <c r="J215" s="322">
        <f>H215*F215</f>
        <v>0</v>
      </c>
    </row>
    <row r="216" spans="1:4" ht="3.75" customHeight="1" thickBot="1">
      <c r="A216" s="121"/>
      <c r="B216" s="155"/>
      <c r="D216" s="138"/>
    </row>
    <row r="217" spans="1:10" ht="28.5">
      <c r="A217" s="316">
        <v>9.2</v>
      </c>
      <c r="B217" s="151" t="s">
        <v>443</v>
      </c>
      <c r="D217" s="145" t="s">
        <v>54</v>
      </c>
      <c r="F217" s="318">
        <v>2</v>
      </c>
      <c r="G217" s="320" t="s">
        <v>14</v>
      </c>
      <c r="H217" s="314"/>
      <c r="I217" s="195"/>
      <c r="J217" s="321">
        <f>H217*F217</f>
        <v>0</v>
      </c>
    </row>
    <row r="218" spans="1:10" ht="34.5" customHeight="1" thickBot="1">
      <c r="A218" s="317">
        <v>9.1</v>
      </c>
      <c r="B218" s="152" t="s">
        <v>148</v>
      </c>
      <c r="D218" s="146" t="s">
        <v>108</v>
      </c>
      <c r="F218" s="319"/>
      <c r="G218" s="320" t="s">
        <v>14</v>
      </c>
      <c r="H218" s="315"/>
      <c r="I218" s="195"/>
      <c r="J218" s="322">
        <f>H218*F218</f>
        <v>0</v>
      </c>
    </row>
    <row r="219" spans="1:4" ht="3.75" customHeight="1" thickBot="1">
      <c r="A219" s="121"/>
      <c r="B219" s="155"/>
      <c r="D219" s="138"/>
    </row>
    <row r="220" spans="1:10" ht="18.75" customHeight="1">
      <c r="A220" s="297">
        <v>9.3</v>
      </c>
      <c r="B220" s="151" t="s">
        <v>361</v>
      </c>
      <c r="D220" s="145" t="s">
        <v>54</v>
      </c>
      <c r="F220" s="284">
        <v>17</v>
      </c>
      <c r="G220" s="274" t="s">
        <v>14</v>
      </c>
      <c r="H220" s="275"/>
      <c r="J220" s="277">
        <f>H220*F220</f>
        <v>0</v>
      </c>
    </row>
    <row r="221" spans="1:10" ht="18.75" customHeight="1" thickBot="1">
      <c r="A221" s="298">
        <v>9.3</v>
      </c>
      <c r="B221" s="152" t="s">
        <v>149</v>
      </c>
      <c r="D221" s="146" t="s">
        <v>108</v>
      </c>
      <c r="F221" s="285"/>
      <c r="G221" s="274" t="s">
        <v>14</v>
      </c>
      <c r="H221" s="276"/>
      <c r="J221" s="278">
        <f>H221*F221</f>
        <v>0</v>
      </c>
    </row>
    <row r="222" spans="1:4" ht="3.75" customHeight="1" thickBot="1">
      <c r="A222" s="121"/>
      <c r="B222" s="155"/>
      <c r="D222" s="138"/>
    </row>
    <row r="223" spans="1:10" ht="18.75" customHeight="1">
      <c r="A223" s="297">
        <v>9.4</v>
      </c>
      <c r="B223" s="151" t="s">
        <v>363</v>
      </c>
      <c r="D223" s="145" t="s">
        <v>54</v>
      </c>
      <c r="F223" s="284">
        <v>1</v>
      </c>
      <c r="G223" s="274" t="s">
        <v>14</v>
      </c>
      <c r="H223" s="275"/>
      <c r="J223" s="277">
        <f>H223*F223</f>
        <v>0</v>
      </c>
    </row>
    <row r="224" spans="1:10" ht="18.75" customHeight="1" thickBot="1">
      <c r="A224" s="298">
        <v>9.3</v>
      </c>
      <c r="B224" s="152" t="s">
        <v>150</v>
      </c>
      <c r="D224" s="146" t="s">
        <v>108</v>
      </c>
      <c r="F224" s="285"/>
      <c r="G224" s="274" t="s">
        <v>14</v>
      </c>
      <c r="H224" s="276"/>
      <c r="J224" s="278">
        <f>H224*F224</f>
        <v>0</v>
      </c>
    </row>
    <row r="225" spans="1:4" ht="3.75" customHeight="1" thickBot="1">
      <c r="A225" s="121"/>
      <c r="B225" s="155"/>
      <c r="D225" s="138"/>
    </row>
    <row r="226" spans="1:10" ht="14.25">
      <c r="A226" s="297">
        <v>9.5</v>
      </c>
      <c r="B226" s="151" t="s">
        <v>362</v>
      </c>
      <c r="D226" s="145" t="s">
        <v>54</v>
      </c>
      <c r="F226" s="284">
        <v>19</v>
      </c>
      <c r="G226" s="274" t="s">
        <v>14</v>
      </c>
      <c r="H226" s="275"/>
      <c r="J226" s="277">
        <f>H226*F226</f>
        <v>0</v>
      </c>
    </row>
    <row r="227" spans="1:10" ht="18.75" customHeight="1" thickBot="1">
      <c r="A227" s="298">
        <v>9.3</v>
      </c>
      <c r="B227" s="152" t="s">
        <v>151</v>
      </c>
      <c r="D227" s="146" t="s">
        <v>108</v>
      </c>
      <c r="F227" s="285"/>
      <c r="G227" s="274" t="s">
        <v>14</v>
      </c>
      <c r="H227" s="276"/>
      <c r="J227" s="278">
        <f>H227*F227</f>
        <v>0</v>
      </c>
    </row>
    <row r="228" spans="1:4" ht="3.75" customHeight="1" thickBot="1">
      <c r="A228" s="121"/>
      <c r="B228" s="155"/>
      <c r="D228" s="138"/>
    </row>
    <row r="229" spans="1:10" ht="14.25">
      <c r="A229" s="297">
        <v>9.6</v>
      </c>
      <c r="B229" s="151" t="s">
        <v>364</v>
      </c>
      <c r="D229" s="145" t="s">
        <v>54</v>
      </c>
      <c r="F229" s="284">
        <v>18</v>
      </c>
      <c r="G229" s="274" t="s">
        <v>14</v>
      </c>
      <c r="H229" s="275"/>
      <c r="J229" s="277">
        <f>H229*F229</f>
        <v>0</v>
      </c>
    </row>
    <row r="230" spans="1:10" ht="18.75" customHeight="1" thickBot="1">
      <c r="A230" s="298">
        <v>9.3</v>
      </c>
      <c r="B230" s="152" t="s">
        <v>152</v>
      </c>
      <c r="D230" s="146" t="s">
        <v>108</v>
      </c>
      <c r="F230" s="285"/>
      <c r="G230" s="274" t="s">
        <v>14</v>
      </c>
      <c r="H230" s="276"/>
      <c r="J230" s="278">
        <f>H230*F230</f>
        <v>0</v>
      </c>
    </row>
    <row r="231" spans="1:4" ht="3.75" customHeight="1" thickBot="1">
      <c r="A231" s="121"/>
      <c r="B231" s="155"/>
      <c r="D231" s="138"/>
    </row>
    <row r="232" spans="1:10" ht="14.25">
      <c r="A232" s="297">
        <v>9.7</v>
      </c>
      <c r="B232" s="151" t="s">
        <v>365</v>
      </c>
      <c r="D232" s="145" t="s">
        <v>54</v>
      </c>
      <c r="F232" s="284">
        <v>6</v>
      </c>
      <c r="G232" s="274" t="s">
        <v>14</v>
      </c>
      <c r="H232" s="275"/>
      <c r="J232" s="277">
        <f>H232*F232</f>
        <v>0</v>
      </c>
    </row>
    <row r="233" spans="1:10" ht="18.75" customHeight="1" thickBot="1">
      <c r="A233" s="298">
        <v>9.3</v>
      </c>
      <c r="B233" s="152" t="s">
        <v>153</v>
      </c>
      <c r="D233" s="146" t="s">
        <v>108</v>
      </c>
      <c r="F233" s="285"/>
      <c r="G233" s="274" t="s">
        <v>14</v>
      </c>
      <c r="H233" s="276"/>
      <c r="J233" s="278">
        <f>H233*F233</f>
        <v>0</v>
      </c>
    </row>
    <row r="234" spans="1:4" ht="3.75" customHeight="1" thickBot="1">
      <c r="A234" s="121"/>
      <c r="B234" s="155"/>
      <c r="D234" s="138"/>
    </row>
    <row r="235" spans="1:10" ht="18.75" customHeight="1">
      <c r="A235" s="297">
        <v>9.8</v>
      </c>
      <c r="B235" s="151" t="s">
        <v>409</v>
      </c>
      <c r="D235" s="145" t="s">
        <v>54</v>
      </c>
      <c r="F235" s="284">
        <v>5</v>
      </c>
      <c r="G235" s="274" t="s">
        <v>14</v>
      </c>
      <c r="H235" s="275"/>
      <c r="J235" s="277">
        <f>H235*F235</f>
        <v>0</v>
      </c>
    </row>
    <row r="236" spans="1:10" ht="18.75" customHeight="1" thickBot="1">
      <c r="A236" s="298">
        <v>9.4</v>
      </c>
      <c r="B236" s="152" t="s">
        <v>109</v>
      </c>
      <c r="D236" s="146" t="s">
        <v>108</v>
      </c>
      <c r="F236" s="285"/>
      <c r="G236" s="274" t="s">
        <v>14</v>
      </c>
      <c r="H236" s="276"/>
      <c r="J236" s="278">
        <f>H236*F236</f>
        <v>0</v>
      </c>
    </row>
    <row r="237" spans="1:4" ht="3.75" customHeight="1" thickBot="1">
      <c r="A237" s="121"/>
      <c r="B237" s="172"/>
      <c r="D237" s="138"/>
    </row>
    <row r="238" spans="1:10" ht="18.75" customHeight="1">
      <c r="A238" s="297">
        <v>9.9</v>
      </c>
      <c r="B238" s="151" t="s">
        <v>410</v>
      </c>
      <c r="D238" s="145" t="s">
        <v>54</v>
      </c>
      <c r="F238" s="284">
        <v>53</v>
      </c>
      <c r="G238" s="274" t="s">
        <v>14</v>
      </c>
      <c r="H238" s="275"/>
      <c r="J238" s="277">
        <f>H238*F238</f>
        <v>0</v>
      </c>
    </row>
    <row r="239" spans="1:10" ht="18.75" customHeight="1" thickBot="1">
      <c r="A239" s="298">
        <v>9.5</v>
      </c>
      <c r="B239" s="152" t="s">
        <v>110</v>
      </c>
      <c r="D239" s="146" t="s">
        <v>108</v>
      </c>
      <c r="F239" s="285"/>
      <c r="G239" s="274" t="s">
        <v>14</v>
      </c>
      <c r="H239" s="276"/>
      <c r="J239" s="278">
        <f>H239*F239</f>
        <v>0</v>
      </c>
    </row>
    <row r="240" spans="1:4" ht="5.25" customHeight="1" hidden="1" thickBot="1">
      <c r="A240" s="196"/>
      <c r="B240" s="197"/>
      <c r="C240" s="198"/>
      <c r="D240" s="138"/>
    </row>
    <row r="241" spans="1:10" ht="15.75" customHeight="1" thickBot="1">
      <c r="A241" s="199"/>
      <c r="B241" s="199"/>
      <c r="D241" s="138"/>
      <c r="F241" s="286" t="s">
        <v>8</v>
      </c>
      <c r="G241" s="287"/>
      <c r="H241" s="288"/>
      <c r="J241" s="149">
        <f>SUM(J214:J240)</f>
        <v>0</v>
      </c>
    </row>
    <row r="242" spans="1:10" ht="6" customHeight="1" thickBot="1">
      <c r="A242" s="121"/>
      <c r="B242" s="121"/>
      <c r="F242" s="148"/>
      <c r="G242" s="148"/>
      <c r="H242" s="148"/>
      <c r="J242" s="173"/>
    </row>
    <row r="243" spans="1:10" ht="18" customHeight="1" thickBot="1">
      <c r="A243" s="180">
        <v>10</v>
      </c>
      <c r="B243" s="280" t="s">
        <v>41</v>
      </c>
      <c r="C243" s="280"/>
      <c r="D243" s="280"/>
      <c r="E243" s="280"/>
      <c r="F243" s="280"/>
      <c r="G243" s="280"/>
      <c r="H243" s="280"/>
      <c r="I243" s="280"/>
      <c r="J243" s="281"/>
    </row>
    <row r="244" spans="1:4" ht="18" customHeight="1">
      <c r="A244" s="121" t="s">
        <v>28</v>
      </c>
      <c r="B244" s="200"/>
      <c r="D244" s="138"/>
    </row>
    <row r="245" spans="1:4" ht="20.25" customHeight="1">
      <c r="A245" s="121" t="s">
        <v>42</v>
      </c>
      <c r="B245" s="200"/>
      <c r="D245" s="138"/>
    </row>
    <row r="246" spans="1:4" ht="9.75" customHeight="1" thickBot="1">
      <c r="A246" s="121"/>
      <c r="B246" s="200"/>
      <c r="D246" s="138"/>
    </row>
    <row r="247" spans="1:10" ht="18.75" customHeight="1">
      <c r="A247" s="297">
        <v>10.1</v>
      </c>
      <c r="B247" s="201" t="s">
        <v>51</v>
      </c>
      <c r="D247" s="202" t="s">
        <v>9</v>
      </c>
      <c r="F247" s="284">
        <v>1</v>
      </c>
      <c r="G247" s="274" t="s">
        <v>14</v>
      </c>
      <c r="H247" s="275">
        <f>L246</f>
        <v>0</v>
      </c>
      <c r="J247" s="277">
        <f>H247</f>
        <v>0</v>
      </c>
    </row>
    <row r="248" spans="1:10" ht="18.75" customHeight="1" thickBot="1">
      <c r="A248" s="298">
        <v>11.1</v>
      </c>
      <c r="B248" s="203" t="s">
        <v>59</v>
      </c>
      <c r="D248" s="252" t="s">
        <v>47</v>
      </c>
      <c r="F248" s="285"/>
      <c r="G248" s="274" t="s">
        <v>14</v>
      </c>
      <c r="H248" s="276" t="e">
        <f>'[1]ELECTRICITY TYPE 43.7m2'!F32</f>
        <v>#REF!</v>
      </c>
      <c r="J248" s="278" t="e">
        <f>H248*F248</f>
        <v>#REF!</v>
      </c>
    </row>
    <row r="249" spans="1:10" s="251" customFormat="1" ht="6" customHeight="1" thickBot="1">
      <c r="A249" s="266"/>
      <c r="B249" s="267"/>
      <c r="D249" s="268"/>
      <c r="F249" s="269"/>
      <c r="G249" s="269"/>
      <c r="H249" s="270"/>
      <c r="J249" s="270"/>
    </row>
    <row r="250" spans="1:10" ht="18" customHeight="1" thickBot="1">
      <c r="A250" s="192"/>
      <c r="B250" s="192"/>
      <c r="D250" s="138"/>
      <c r="F250" s="286" t="s">
        <v>320</v>
      </c>
      <c r="G250" s="287"/>
      <c r="H250" s="288"/>
      <c r="J250" s="149">
        <f>J247</f>
        <v>0</v>
      </c>
    </row>
    <row r="251" spans="1:4" ht="3.75" customHeight="1" thickBot="1">
      <c r="A251" s="121"/>
      <c r="B251" s="121"/>
      <c r="D251" s="138"/>
    </row>
    <row r="252" spans="1:10" ht="18" customHeight="1" thickBot="1">
      <c r="A252" s="180">
        <v>11</v>
      </c>
      <c r="B252" s="280" t="s">
        <v>43</v>
      </c>
      <c r="C252" s="280"/>
      <c r="D252" s="280"/>
      <c r="E252" s="280"/>
      <c r="F252" s="280"/>
      <c r="G252" s="280"/>
      <c r="H252" s="280"/>
      <c r="I252" s="280"/>
      <c r="J252" s="281"/>
    </row>
    <row r="253" spans="1:4" ht="9.75" customHeight="1" thickBot="1">
      <c r="A253" s="121"/>
      <c r="B253" s="121"/>
      <c r="D253" s="138"/>
    </row>
    <row r="254" spans="1:10" ht="18.75" customHeight="1">
      <c r="A254" s="297">
        <v>11.1</v>
      </c>
      <c r="B254" s="201" t="s">
        <v>366</v>
      </c>
      <c r="D254" s="202" t="s">
        <v>9</v>
      </c>
      <c r="F254" s="284">
        <v>1</v>
      </c>
      <c r="G254" s="274" t="s">
        <v>14</v>
      </c>
      <c r="H254" s="275"/>
      <c r="J254" s="277">
        <f>H254*F254</f>
        <v>0</v>
      </c>
    </row>
    <row r="255" spans="1:10" ht="18.75" customHeight="1" thickBot="1">
      <c r="A255" s="298">
        <v>12.1</v>
      </c>
      <c r="B255" s="203" t="s">
        <v>65</v>
      </c>
      <c r="D255" s="252" t="s">
        <v>47</v>
      </c>
      <c r="F255" s="285"/>
      <c r="G255" s="274" t="s">
        <v>14</v>
      </c>
      <c r="H255" s="276"/>
      <c r="J255" s="278">
        <f>H255*F255</f>
        <v>0</v>
      </c>
    </row>
    <row r="256" spans="1:10" s="251" customFormat="1" ht="6" customHeight="1" thickBot="1">
      <c r="A256" s="266"/>
      <c r="B256" s="267"/>
      <c r="D256" s="268"/>
      <c r="F256" s="269"/>
      <c r="G256" s="269"/>
      <c r="H256" s="270"/>
      <c r="J256" s="270"/>
    </row>
    <row r="257" spans="1:10" ht="18" customHeight="1" thickBot="1">
      <c r="A257" s="121"/>
      <c r="B257" s="121"/>
      <c r="D257" s="138"/>
      <c r="F257" s="286" t="s">
        <v>10</v>
      </c>
      <c r="G257" s="287"/>
      <c r="H257" s="288"/>
      <c r="J257" s="149">
        <f>J254</f>
        <v>0</v>
      </c>
    </row>
    <row r="258" spans="1:4" ht="10.5" customHeight="1" thickBot="1">
      <c r="A258" s="121"/>
      <c r="B258" s="121"/>
      <c r="D258" s="138"/>
    </row>
    <row r="259" spans="1:10" ht="18" customHeight="1" thickBot="1">
      <c r="A259" s="180">
        <v>12</v>
      </c>
      <c r="B259" s="280" t="s">
        <v>66</v>
      </c>
      <c r="C259" s="280"/>
      <c r="D259" s="280"/>
      <c r="E259" s="280"/>
      <c r="F259" s="280"/>
      <c r="G259" s="280"/>
      <c r="H259" s="280"/>
      <c r="I259" s="280"/>
      <c r="J259" s="281"/>
    </row>
    <row r="260" spans="1:4" ht="9.75" customHeight="1" thickBot="1">
      <c r="A260" s="121"/>
      <c r="B260" s="121"/>
      <c r="D260" s="138"/>
    </row>
    <row r="261" spans="1:10" ht="18.75" customHeight="1">
      <c r="A261" s="297">
        <v>12.1</v>
      </c>
      <c r="B261" s="201" t="s">
        <v>367</v>
      </c>
      <c r="D261" s="202" t="s">
        <v>9</v>
      </c>
      <c r="F261" s="284">
        <v>1</v>
      </c>
      <c r="G261" s="274" t="s">
        <v>14</v>
      </c>
      <c r="H261" s="275"/>
      <c r="J261" s="277">
        <f>H261*F261</f>
        <v>0</v>
      </c>
    </row>
    <row r="262" spans="1:10" ht="18.75" customHeight="1" thickBot="1">
      <c r="A262" s="298">
        <v>12.1</v>
      </c>
      <c r="B262" s="203" t="s">
        <v>368</v>
      </c>
      <c r="D262" s="252" t="s">
        <v>47</v>
      </c>
      <c r="F262" s="285"/>
      <c r="G262" s="274" t="s">
        <v>14</v>
      </c>
      <c r="H262" s="276"/>
      <c r="J262" s="278">
        <f>H262*F262</f>
        <v>0</v>
      </c>
    </row>
    <row r="263" spans="1:10" ht="3.75" customHeight="1" thickBot="1">
      <c r="A263" s="122"/>
      <c r="B263" s="176"/>
      <c r="D263" s="204"/>
      <c r="F263" s="138"/>
      <c r="G263" s="138"/>
      <c r="H263" s="178"/>
      <c r="J263" s="179"/>
    </row>
    <row r="264" spans="1:10" ht="18" customHeight="1" thickBot="1">
      <c r="A264" s="121"/>
      <c r="B264" s="121"/>
      <c r="D264" s="138"/>
      <c r="F264" s="286" t="s">
        <v>11</v>
      </c>
      <c r="G264" s="287"/>
      <c r="H264" s="288"/>
      <c r="J264" s="149">
        <f>J261</f>
        <v>0</v>
      </c>
    </row>
    <row r="265" spans="1:4" ht="3.75" customHeight="1" thickBot="1">
      <c r="A265" s="121"/>
      <c r="B265" s="121"/>
      <c r="D265" s="138"/>
    </row>
    <row r="266" spans="1:10" ht="18" customHeight="1" thickBot="1">
      <c r="A266" s="180">
        <v>13</v>
      </c>
      <c r="B266" s="280" t="s">
        <v>319</v>
      </c>
      <c r="C266" s="280"/>
      <c r="D266" s="280"/>
      <c r="E266" s="280"/>
      <c r="F266" s="280"/>
      <c r="G266" s="280"/>
      <c r="H266" s="280"/>
      <c r="I266" s="280"/>
      <c r="J266" s="281"/>
    </row>
    <row r="267" spans="1:4" ht="3.75" customHeight="1" thickBot="1">
      <c r="A267" s="122"/>
      <c r="B267" s="121"/>
      <c r="D267" s="138"/>
    </row>
    <row r="268" spans="1:10" ht="18.75" customHeight="1">
      <c r="A268" s="297">
        <v>13.1</v>
      </c>
      <c r="B268" s="151" t="s">
        <v>310</v>
      </c>
      <c r="D268" s="145" t="s">
        <v>13</v>
      </c>
      <c r="F268" s="284">
        <v>120</v>
      </c>
      <c r="G268" s="274" t="s">
        <v>14</v>
      </c>
      <c r="H268" s="275"/>
      <c r="J268" s="277">
        <f>H268*F268</f>
        <v>0</v>
      </c>
    </row>
    <row r="269" spans="1:10" ht="38.25" customHeight="1" thickBot="1">
      <c r="A269" s="298">
        <v>4.1</v>
      </c>
      <c r="B269" s="152" t="s">
        <v>309</v>
      </c>
      <c r="D269" s="146" t="s">
        <v>64</v>
      </c>
      <c r="F269" s="285"/>
      <c r="G269" s="274" t="s">
        <v>14</v>
      </c>
      <c r="H269" s="276"/>
      <c r="J269" s="278">
        <f>H269*F269</f>
        <v>0</v>
      </c>
    </row>
    <row r="270" spans="1:10" ht="3.75" customHeight="1" thickBot="1">
      <c r="A270" s="185"/>
      <c r="B270" s="186"/>
      <c r="D270" s="187"/>
      <c r="F270" s="142"/>
      <c r="G270" s="142"/>
      <c r="H270" s="188"/>
      <c r="J270" s="189"/>
    </row>
    <row r="271" spans="1:10" ht="28.5">
      <c r="A271" s="297">
        <v>13.2</v>
      </c>
      <c r="B271" s="205" t="s">
        <v>369</v>
      </c>
      <c r="D271" s="202" t="s">
        <v>9</v>
      </c>
      <c r="F271" s="284">
        <v>2</v>
      </c>
      <c r="G271" s="274" t="s">
        <v>14</v>
      </c>
      <c r="H271" s="275"/>
      <c r="J271" s="277">
        <f>H271*F271</f>
        <v>0</v>
      </c>
    </row>
    <row r="272" spans="1:10" ht="19.5" customHeight="1" thickBot="1">
      <c r="A272" s="298">
        <v>12.1</v>
      </c>
      <c r="B272" s="206" t="s">
        <v>321</v>
      </c>
      <c r="D272" s="252" t="s">
        <v>47</v>
      </c>
      <c r="F272" s="285"/>
      <c r="G272" s="274" t="s">
        <v>14</v>
      </c>
      <c r="H272" s="276"/>
      <c r="J272" s="278">
        <f>H272*F272</f>
        <v>0</v>
      </c>
    </row>
    <row r="273" spans="1:10" ht="3.75" customHeight="1" thickBot="1">
      <c r="A273" s="185"/>
      <c r="B273" s="186"/>
      <c r="D273" s="187"/>
      <c r="F273" s="142"/>
      <c r="G273" s="142"/>
      <c r="H273" s="188"/>
      <c r="J273" s="189"/>
    </row>
    <row r="274" spans="1:10" ht="18.75" customHeight="1">
      <c r="A274" s="297">
        <v>13.3</v>
      </c>
      <c r="B274" s="207" t="s">
        <v>370</v>
      </c>
      <c r="D274" s="193" t="s">
        <v>403</v>
      </c>
      <c r="F274" s="284">
        <v>16</v>
      </c>
      <c r="G274" s="274" t="s">
        <v>14</v>
      </c>
      <c r="H274" s="275"/>
      <c r="J274" s="277">
        <f>H274*F274</f>
        <v>0</v>
      </c>
    </row>
    <row r="275" spans="1:10" ht="18.75" thickBot="1">
      <c r="A275" s="298">
        <v>12.1</v>
      </c>
      <c r="B275" s="206" t="s">
        <v>322</v>
      </c>
      <c r="D275" s="194" t="s">
        <v>396</v>
      </c>
      <c r="F275" s="285"/>
      <c r="G275" s="274" t="s">
        <v>14</v>
      </c>
      <c r="H275" s="276"/>
      <c r="J275" s="278">
        <f>H275*F275</f>
        <v>0</v>
      </c>
    </row>
    <row r="276" spans="1:10" ht="3.75" customHeight="1" thickBot="1">
      <c r="A276" s="185"/>
      <c r="B276" s="186"/>
      <c r="D276" s="187"/>
      <c r="F276" s="142"/>
      <c r="G276" s="142"/>
      <c r="H276" s="188"/>
      <c r="J276" s="189"/>
    </row>
    <row r="277" spans="1:10" ht="18.75" customHeight="1">
      <c r="A277" s="297">
        <v>13.4</v>
      </c>
      <c r="B277" s="207" t="s">
        <v>371</v>
      </c>
      <c r="D277" s="193" t="s">
        <v>403</v>
      </c>
      <c r="F277" s="284">
        <v>2</v>
      </c>
      <c r="G277" s="274" t="s">
        <v>14</v>
      </c>
      <c r="H277" s="275"/>
      <c r="J277" s="277">
        <f>H277*F277</f>
        <v>0</v>
      </c>
    </row>
    <row r="278" spans="1:10" ht="30" customHeight="1" thickBot="1">
      <c r="A278" s="298">
        <v>12.1</v>
      </c>
      <c r="B278" s="206" t="s">
        <v>323</v>
      </c>
      <c r="D278" s="194" t="s">
        <v>396</v>
      </c>
      <c r="F278" s="285"/>
      <c r="G278" s="274" t="s">
        <v>14</v>
      </c>
      <c r="H278" s="276"/>
      <c r="J278" s="278">
        <f>H278*F278</f>
        <v>0</v>
      </c>
    </row>
    <row r="279" spans="1:10" s="251" customFormat="1" ht="6" customHeight="1" thickBot="1">
      <c r="A279" s="262"/>
      <c r="B279" s="263"/>
      <c r="D279" s="264"/>
      <c r="F279" s="265"/>
      <c r="G279" s="265"/>
      <c r="H279" s="260"/>
      <c r="J279" s="260"/>
    </row>
    <row r="280" spans="1:10" ht="17.25" customHeight="1" thickBot="1">
      <c r="A280" s="121"/>
      <c r="B280" s="121"/>
      <c r="D280" s="138"/>
      <c r="F280" s="286" t="s">
        <v>480</v>
      </c>
      <c r="G280" s="287"/>
      <c r="H280" s="288"/>
      <c r="J280" s="149">
        <f>SUM(J268:J278)</f>
        <v>0</v>
      </c>
    </row>
    <row r="281" spans="1:10" ht="6" customHeight="1" thickBot="1">
      <c r="A281" s="121"/>
      <c r="B281" s="121"/>
      <c r="D281" s="138"/>
      <c r="F281" s="148"/>
      <c r="G281" s="148"/>
      <c r="H281" s="148"/>
      <c r="J281" s="208"/>
    </row>
    <row r="282" spans="1:10" ht="18" customHeight="1" thickBot="1">
      <c r="A282" s="180">
        <v>14</v>
      </c>
      <c r="B282" s="280" t="s">
        <v>311</v>
      </c>
      <c r="C282" s="280"/>
      <c r="D282" s="280"/>
      <c r="E282" s="280"/>
      <c r="F282" s="280"/>
      <c r="G282" s="280"/>
      <c r="H282" s="280"/>
      <c r="I282" s="280"/>
      <c r="J282" s="281"/>
    </row>
    <row r="283" spans="1:10" s="251" customFormat="1" ht="3.75" customHeight="1" thickBot="1">
      <c r="A283" s="253"/>
      <c r="B283" s="254"/>
      <c r="C283" s="255"/>
      <c r="D283" s="255"/>
      <c r="E283" s="255"/>
      <c r="F283" s="255"/>
      <c r="G283" s="255"/>
      <c r="H283" s="255"/>
      <c r="I283" s="255"/>
      <c r="J283" s="255"/>
    </row>
    <row r="284" spans="1:10" ht="21.75" customHeight="1">
      <c r="A284" s="289">
        <v>14.1</v>
      </c>
      <c r="B284" s="151" t="s">
        <v>372</v>
      </c>
      <c r="D284" s="145" t="s">
        <v>54</v>
      </c>
      <c r="F284" s="291">
        <v>1</v>
      </c>
      <c r="G284" s="293" t="s">
        <v>14</v>
      </c>
      <c r="H284" s="294"/>
      <c r="J284" s="277">
        <f>H284*F284</f>
        <v>0</v>
      </c>
    </row>
    <row r="285" spans="1:10" ht="42" customHeight="1" thickBot="1">
      <c r="A285" s="290">
        <v>8.8</v>
      </c>
      <c r="B285" s="152" t="s">
        <v>315</v>
      </c>
      <c r="D285" s="146" t="s">
        <v>108</v>
      </c>
      <c r="F285" s="292"/>
      <c r="G285" s="293" t="s">
        <v>14</v>
      </c>
      <c r="H285" s="295"/>
      <c r="J285" s="278">
        <f>H285*F285</f>
        <v>0</v>
      </c>
    </row>
    <row r="286" spans="1:8" ht="3.75" customHeight="1" thickBot="1">
      <c r="A286" s="121"/>
      <c r="B286" s="121"/>
      <c r="D286" s="138"/>
      <c r="F286" s="251"/>
      <c r="G286" s="251"/>
      <c r="H286" s="251"/>
    </row>
    <row r="287" spans="1:10" ht="18.75" customHeight="1">
      <c r="A287" s="289">
        <v>14.2</v>
      </c>
      <c r="B287" s="151" t="s">
        <v>373</v>
      </c>
      <c r="D287" s="145" t="s">
        <v>54</v>
      </c>
      <c r="F287" s="291">
        <v>1</v>
      </c>
      <c r="G287" s="293" t="s">
        <v>14</v>
      </c>
      <c r="H287" s="294"/>
      <c r="J287" s="277">
        <f>H287*F287</f>
        <v>0</v>
      </c>
    </row>
    <row r="288" spans="1:10" ht="16.5" thickBot="1">
      <c r="A288" s="290">
        <v>8.8</v>
      </c>
      <c r="B288" s="152" t="s">
        <v>316</v>
      </c>
      <c r="D288" s="146" t="s">
        <v>108</v>
      </c>
      <c r="F288" s="292"/>
      <c r="G288" s="293" t="s">
        <v>14</v>
      </c>
      <c r="H288" s="295"/>
      <c r="J288" s="278">
        <f>H288*F288</f>
        <v>0</v>
      </c>
    </row>
    <row r="289" spans="1:8" ht="3.75" customHeight="1" thickBot="1">
      <c r="A289" s="121"/>
      <c r="B289" s="121"/>
      <c r="D289" s="138"/>
      <c r="F289" s="251"/>
      <c r="G289" s="251"/>
      <c r="H289" s="251"/>
    </row>
    <row r="290" spans="1:10" ht="18.75" customHeight="1">
      <c r="A290" s="289">
        <v>14.3</v>
      </c>
      <c r="B290" s="151" t="s">
        <v>374</v>
      </c>
      <c r="D290" s="193" t="s">
        <v>403</v>
      </c>
      <c r="F290" s="291">
        <v>14</v>
      </c>
      <c r="G290" s="293" t="s">
        <v>14</v>
      </c>
      <c r="H290" s="294"/>
      <c r="J290" s="277">
        <f>H290*F290</f>
        <v>0</v>
      </c>
    </row>
    <row r="291" spans="1:10" ht="30" customHeight="1" thickBot="1">
      <c r="A291" s="290">
        <v>8.8</v>
      </c>
      <c r="B291" s="152" t="s">
        <v>318</v>
      </c>
      <c r="D291" s="194" t="s">
        <v>396</v>
      </c>
      <c r="F291" s="292"/>
      <c r="G291" s="293" t="s">
        <v>14</v>
      </c>
      <c r="H291" s="295"/>
      <c r="J291" s="278">
        <f>H291*F291</f>
        <v>0</v>
      </c>
    </row>
    <row r="292" spans="1:8" ht="3.75" customHeight="1" thickBot="1">
      <c r="A292" s="121"/>
      <c r="B292" s="121"/>
      <c r="D292" s="138"/>
      <c r="F292" s="251"/>
      <c r="G292" s="251"/>
      <c r="H292" s="251"/>
    </row>
    <row r="293" spans="1:10" ht="15" customHeight="1">
      <c r="A293" s="289">
        <v>14.4</v>
      </c>
      <c r="B293" s="151" t="s">
        <v>376</v>
      </c>
      <c r="D293" s="145" t="s">
        <v>54</v>
      </c>
      <c r="F293" s="291">
        <v>1</v>
      </c>
      <c r="G293" s="293" t="s">
        <v>14</v>
      </c>
      <c r="H293" s="294"/>
      <c r="J293" s="277">
        <f>H293*F293</f>
        <v>0</v>
      </c>
    </row>
    <row r="294" spans="1:10" ht="32.25" thickBot="1">
      <c r="A294" s="290">
        <v>8.8</v>
      </c>
      <c r="B294" s="152" t="s">
        <v>375</v>
      </c>
      <c r="D294" s="146" t="s">
        <v>108</v>
      </c>
      <c r="F294" s="292"/>
      <c r="G294" s="293" t="s">
        <v>14</v>
      </c>
      <c r="H294" s="295"/>
      <c r="J294" s="278">
        <f>H294*F294</f>
        <v>0</v>
      </c>
    </row>
    <row r="295" spans="1:10" ht="0.75" customHeight="1">
      <c r="A295" s="122"/>
      <c r="B295" s="176"/>
      <c r="D295" s="204"/>
      <c r="F295" s="138"/>
      <c r="G295" s="138"/>
      <c r="H295" s="178"/>
      <c r="J295" s="179"/>
    </row>
    <row r="296" spans="1:10" ht="3.75" customHeight="1" thickBot="1">
      <c r="A296" s="122"/>
      <c r="B296" s="176"/>
      <c r="D296" s="204"/>
      <c r="F296" s="138"/>
      <c r="G296" s="138"/>
      <c r="H296" s="178"/>
      <c r="J296" s="179"/>
    </row>
    <row r="297" spans="1:10" ht="27.75" customHeight="1" thickBot="1">
      <c r="A297" s="121"/>
      <c r="B297" s="121"/>
      <c r="D297" s="138"/>
      <c r="F297" s="286" t="s">
        <v>11</v>
      </c>
      <c r="G297" s="287"/>
      <c r="H297" s="288"/>
      <c r="J297" s="149">
        <f>J293+J284+J290+J287</f>
        <v>0</v>
      </c>
    </row>
    <row r="298" spans="1:8" ht="6" customHeight="1" thickBot="1">
      <c r="A298" s="121"/>
      <c r="B298" s="121"/>
      <c r="F298" s="123"/>
      <c r="G298" s="138"/>
      <c r="H298" s="138"/>
    </row>
    <row r="299" spans="1:10" ht="18" customHeight="1" thickBot="1">
      <c r="A299" s="180">
        <v>15</v>
      </c>
      <c r="B299" s="296" t="s">
        <v>411</v>
      </c>
      <c r="C299" s="280"/>
      <c r="D299" s="280"/>
      <c r="E299" s="280"/>
      <c r="F299" s="280"/>
      <c r="G299" s="280"/>
      <c r="H299" s="280"/>
      <c r="I299" s="280"/>
      <c r="J299" s="281"/>
    </row>
    <row r="300" spans="1:10" s="251" customFormat="1" ht="3.75" customHeight="1" thickBot="1">
      <c r="A300" s="253"/>
      <c r="B300" s="261"/>
      <c r="C300" s="255"/>
      <c r="D300" s="255"/>
      <c r="E300" s="255"/>
      <c r="F300" s="255"/>
      <c r="G300" s="255"/>
      <c r="H300" s="255"/>
      <c r="I300" s="255"/>
      <c r="J300" s="255"/>
    </row>
    <row r="301" spans="1:10" ht="18.75" customHeight="1">
      <c r="A301" s="289">
        <v>15.1</v>
      </c>
      <c r="B301" s="207" t="s">
        <v>438</v>
      </c>
      <c r="D301" s="193" t="s">
        <v>412</v>
      </c>
      <c r="F301" s="291">
        <v>50</v>
      </c>
      <c r="G301" s="293" t="s">
        <v>14</v>
      </c>
      <c r="H301" s="294"/>
      <c r="J301" s="277">
        <f>H301*F301</f>
        <v>0</v>
      </c>
    </row>
    <row r="302" spans="1:10" ht="18.75" thickBot="1">
      <c r="A302" s="290">
        <v>8.8</v>
      </c>
      <c r="B302" s="152" t="s">
        <v>326</v>
      </c>
      <c r="D302" s="209" t="s">
        <v>413</v>
      </c>
      <c r="F302" s="292"/>
      <c r="G302" s="293" t="s">
        <v>14</v>
      </c>
      <c r="H302" s="295"/>
      <c r="J302" s="278">
        <f>H302*F302</f>
        <v>0</v>
      </c>
    </row>
    <row r="303" spans="1:8" ht="3.75" customHeight="1" thickBot="1">
      <c r="A303" s="121"/>
      <c r="B303" s="121"/>
      <c r="D303" s="138"/>
      <c r="F303" s="251"/>
      <c r="G303" s="251"/>
      <c r="H303" s="251"/>
    </row>
    <row r="304" spans="1:10" ht="18.75" customHeight="1">
      <c r="A304" s="289">
        <v>15.2</v>
      </c>
      <c r="B304" s="151" t="s">
        <v>377</v>
      </c>
      <c r="D304" s="145" t="s">
        <v>13</v>
      </c>
      <c r="F304" s="291">
        <v>255</v>
      </c>
      <c r="G304" s="293" t="s">
        <v>14</v>
      </c>
      <c r="H304" s="294"/>
      <c r="J304" s="277">
        <f>H304*F304</f>
        <v>0</v>
      </c>
    </row>
    <row r="305" spans="1:10" ht="16.5" thickBot="1">
      <c r="A305" s="290">
        <v>8.8</v>
      </c>
      <c r="B305" s="152" t="s">
        <v>327</v>
      </c>
      <c r="D305" s="146" t="s">
        <v>64</v>
      </c>
      <c r="F305" s="292"/>
      <c r="G305" s="293" t="s">
        <v>14</v>
      </c>
      <c r="H305" s="295"/>
      <c r="J305" s="278">
        <f>H305*F305</f>
        <v>0</v>
      </c>
    </row>
    <row r="306" spans="1:8" ht="3.75" customHeight="1" thickBot="1">
      <c r="A306" s="121"/>
      <c r="B306" s="121"/>
      <c r="D306" s="138"/>
      <c r="F306" s="251"/>
      <c r="G306" s="251"/>
      <c r="H306" s="251"/>
    </row>
    <row r="307" spans="1:10" ht="18.75" customHeight="1">
      <c r="A307" s="289">
        <v>15.3</v>
      </c>
      <c r="B307" s="151" t="s">
        <v>378</v>
      </c>
      <c r="D307" s="193" t="s">
        <v>403</v>
      </c>
      <c r="F307" s="291">
        <v>720</v>
      </c>
      <c r="G307" s="293" t="s">
        <v>14</v>
      </c>
      <c r="H307" s="294"/>
      <c r="J307" s="277">
        <f>H307*F307</f>
        <v>0</v>
      </c>
    </row>
    <row r="308" spans="1:10" ht="18.75" thickBot="1">
      <c r="A308" s="290">
        <v>8.8</v>
      </c>
      <c r="B308" s="152" t="s">
        <v>464</v>
      </c>
      <c r="D308" s="194" t="s">
        <v>396</v>
      </c>
      <c r="F308" s="292"/>
      <c r="G308" s="293" t="s">
        <v>14</v>
      </c>
      <c r="H308" s="295"/>
      <c r="J308" s="278">
        <f>H308*F308</f>
        <v>0</v>
      </c>
    </row>
    <row r="309" spans="1:8" ht="3.75" customHeight="1" thickBot="1">
      <c r="A309" s="121"/>
      <c r="B309" s="121"/>
      <c r="D309" s="138"/>
      <c r="F309" s="251"/>
      <c r="G309" s="251"/>
      <c r="H309" s="251"/>
    </row>
    <row r="310" spans="1:10" ht="17.25" customHeight="1">
      <c r="A310" s="289">
        <v>15.4</v>
      </c>
      <c r="B310" s="151" t="s">
        <v>379</v>
      </c>
      <c r="D310" s="193" t="s">
        <v>403</v>
      </c>
      <c r="F310" s="291">
        <v>720</v>
      </c>
      <c r="G310" s="293" t="s">
        <v>14</v>
      </c>
      <c r="H310" s="294"/>
      <c r="J310" s="277">
        <f>H310*F310</f>
        <v>0</v>
      </c>
    </row>
    <row r="311" spans="1:10" ht="18.75" thickBot="1">
      <c r="A311" s="290">
        <v>8.8</v>
      </c>
      <c r="B311" s="152" t="s">
        <v>328</v>
      </c>
      <c r="D311" s="194" t="s">
        <v>396</v>
      </c>
      <c r="F311" s="292"/>
      <c r="G311" s="293" t="s">
        <v>14</v>
      </c>
      <c r="H311" s="295"/>
      <c r="J311" s="278">
        <f>H311*F311</f>
        <v>0</v>
      </c>
    </row>
    <row r="312" spans="1:8" ht="3.75" customHeight="1" thickBot="1">
      <c r="A312" s="121"/>
      <c r="B312" s="121"/>
      <c r="D312" s="138"/>
      <c r="F312" s="251"/>
      <c r="G312" s="251"/>
      <c r="H312" s="251"/>
    </row>
    <row r="313" spans="1:10" ht="16.5">
      <c r="A313" s="289">
        <v>15.5</v>
      </c>
      <c r="B313" s="147" t="s">
        <v>380</v>
      </c>
      <c r="D313" s="141" t="s">
        <v>394</v>
      </c>
      <c r="F313" s="291">
        <v>50</v>
      </c>
      <c r="G313" s="293" t="s">
        <v>14</v>
      </c>
      <c r="H313" s="294"/>
      <c r="J313" s="277">
        <f>H313*F313</f>
        <v>0</v>
      </c>
    </row>
    <row r="314" spans="1:10" ht="18.75" thickBot="1">
      <c r="A314" s="290">
        <v>8.8</v>
      </c>
      <c r="B314" s="143" t="s">
        <v>104</v>
      </c>
      <c r="D314" s="144" t="s">
        <v>395</v>
      </c>
      <c r="F314" s="292"/>
      <c r="G314" s="293" t="s">
        <v>14</v>
      </c>
      <c r="H314" s="295"/>
      <c r="J314" s="278">
        <f>H314*F314</f>
        <v>0</v>
      </c>
    </row>
    <row r="315" spans="1:10" ht="3.75" customHeight="1" thickBot="1">
      <c r="A315" s="122"/>
      <c r="B315" s="176"/>
      <c r="D315" s="204"/>
      <c r="F315" s="138"/>
      <c r="G315" s="138"/>
      <c r="H315" s="178"/>
      <c r="J315" s="260"/>
    </row>
    <row r="316" spans="1:10" ht="18" customHeight="1" thickBot="1">
      <c r="A316" s="121"/>
      <c r="B316" s="121"/>
      <c r="D316" s="138"/>
      <c r="F316" s="286" t="s">
        <v>479</v>
      </c>
      <c r="G316" s="287"/>
      <c r="H316" s="288"/>
      <c r="J316" s="149">
        <f>J313+J301+J307+J304+J310</f>
        <v>0</v>
      </c>
    </row>
    <row r="317" spans="1:4" ht="10.5" customHeight="1" thickBot="1">
      <c r="A317" s="121"/>
      <c r="B317" s="121"/>
      <c r="D317" s="138"/>
    </row>
    <row r="318" spans="1:10" ht="18" customHeight="1" thickBot="1">
      <c r="A318" s="180">
        <v>16</v>
      </c>
      <c r="B318" s="280" t="s">
        <v>136</v>
      </c>
      <c r="C318" s="280"/>
      <c r="D318" s="280"/>
      <c r="E318" s="280"/>
      <c r="F318" s="280"/>
      <c r="G318" s="280"/>
      <c r="H318" s="280"/>
      <c r="I318" s="280"/>
      <c r="J318" s="281"/>
    </row>
    <row r="319" spans="1:4" ht="9.75" customHeight="1" thickBot="1">
      <c r="A319" s="121"/>
      <c r="B319" s="121"/>
      <c r="D319" s="138"/>
    </row>
    <row r="320" spans="1:10" ht="18.75" customHeight="1">
      <c r="A320" s="297">
        <v>16.1</v>
      </c>
      <c r="B320" s="201" t="s">
        <v>481</v>
      </c>
      <c r="D320" s="202" t="s">
        <v>9</v>
      </c>
      <c r="F320" s="284">
        <v>1</v>
      </c>
      <c r="G320" s="274" t="s">
        <v>14</v>
      </c>
      <c r="H320" s="275"/>
      <c r="J320" s="277">
        <f>H320*F320</f>
        <v>0</v>
      </c>
    </row>
    <row r="321" spans="1:10" ht="18.75" customHeight="1" thickBot="1">
      <c r="A321" s="298">
        <v>12.1</v>
      </c>
      <c r="B321" s="203" t="s">
        <v>482</v>
      </c>
      <c r="D321" s="252" t="s">
        <v>47</v>
      </c>
      <c r="F321" s="285"/>
      <c r="G321" s="274" t="s">
        <v>14</v>
      </c>
      <c r="H321" s="276"/>
      <c r="J321" s="278">
        <f>H321*F321</f>
        <v>0</v>
      </c>
    </row>
    <row r="322" spans="1:10" s="251" customFormat="1" ht="5.25" customHeight="1" thickBot="1">
      <c r="A322" s="262"/>
      <c r="B322" s="263"/>
      <c r="D322" s="264"/>
      <c r="F322" s="265"/>
      <c r="G322" s="265"/>
      <c r="H322" s="260"/>
      <c r="J322" s="260"/>
    </row>
    <row r="323" spans="1:10" ht="18" customHeight="1" thickBot="1">
      <c r="A323" s="121"/>
      <c r="B323" s="121"/>
      <c r="D323" s="138"/>
      <c r="F323" s="286" t="s">
        <v>483</v>
      </c>
      <c r="G323" s="287"/>
      <c r="H323" s="288"/>
      <c r="J323" s="149">
        <f>J320</f>
        <v>0</v>
      </c>
    </row>
    <row r="324" spans="1:8" ht="18" customHeight="1">
      <c r="A324" s="121"/>
      <c r="B324" s="121"/>
      <c r="F324" s="123"/>
      <c r="G324" s="138"/>
      <c r="H324" s="138"/>
    </row>
    <row r="325" spans="1:8" ht="18" customHeight="1">
      <c r="A325" s="121"/>
      <c r="B325" s="121"/>
      <c r="F325" s="123"/>
      <c r="G325" s="138"/>
      <c r="H325" s="138"/>
    </row>
    <row r="326" spans="1:8" ht="18" customHeight="1">
      <c r="A326" s="121"/>
      <c r="B326" s="121"/>
      <c r="F326" s="123"/>
      <c r="G326" s="138"/>
      <c r="H326" s="138"/>
    </row>
    <row r="327" spans="1:8" ht="18" customHeight="1">
      <c r="A327" s="121"/>
      <c r="B327" s="121"/>
      <c r="F327" s="123"/>
      <c r="G327" s="138"/>
      <c r="H327" s="138"/>
    </row>
    <row r="328" spans="1:8" ht="18" customHeight="1">
      <c r="A328" s="121"/>
      <c r="B328" s="121"/>
      <c r="F328" s="123"/>
      <c r="G328" s="138"/>
      <c r="H328" s="138"/>
    </row>
    <row r="329" spans="1:8" ht="18" customHeight="1">
      <c r="A329" s="121"/>
      <c r="B329" s="121"/>
      <c r="F329" s="123"/>
      <c r="G329" s="138"/>
      <c r="H329" s="138"/>
    </row>
    <row r="330" spans="1:8" ht="18" customHeight="1" thickBot="1">
      <c r="A330" s="121"/>
      <c r="B330" s="121"/>
      <c r="F330" s="123"/>
      <c r="G330" s="138"/>
      <c r="H330" s="138"/>
    </row>
    <row r="331" spans="1:10" s="121" customFormat="1" ht="24.75" customHeight="1" thickBot="1">
      <c r="A331" s="348" t="s">
        <v>414</v>
      </c>
      <c r="B331" s="349"/>
      <c r="C331" s="349"/>
      <c r="D331" s="349"/>
      <c r="E331" s="349"/>
      <c r="F331" s="349"/>
      <c r="G331" s="349"/>
      <c r="H331" s="349"/>
      <c r="I331" s="349"/>
      <c r="J331" s="350"/>
    </row>
    <row r="332" spans="1:2" ht="15" thickBot="1">
      <c r="A332" s="127"/>
      <c r="B332" s="127"/>
    </row>
    <row r="333" spans="1:10" ht="31.5" customHeight="1">
      <c r="A333" s="210">
        <v>1</v>
      </c>
      <c r="B333" s="211" t="s">
        <v>415</v>
      </c>
      <c r="F333" s="351" t="s">
        <v>16</v>
      </c>
      <c r="G333" s="352"/>
      <c r="H333" s="353"/>
      <c r="J333" s="257">
        <f>J51</f>
        <v>0</v>
      </c>
    </row>
    <row r="334" spans="1:10" ht="31.5" customHeight="1">
      <c r="A334" s="212">
        <v>2</v>
      </c>
      <c r="B334" s="213" t="s">
        <v>416</v>
      </c>
      <c r="F334" s="308" t="s">
        <v>17</v>
      </c>
      <c r="G334" s="309"/>
      <c r="H334" s="310"/>
      <c r="J334" s="258">
        <f>J66</f>
        <v>0</v>
      </c>
    </row>
    <row r="335" spans="1:10" ht="31.5" customHeight="1">
      <c r="A335" s="212">
        <v>3</v>
      </c>
      <c r="B335" s="213" t="s">
        <v>417</v>
      </c>
      <c r="F335" s="308" t="s">
        <v>18</v>
      </c>
      <c r="G335" s="309"/>
      <c r="H335" s="310"/>
      <c r="J335" s="258">
        <f>J75</f>
        <v>0</v>
      </c>
    </row>
    <row r="336" spans="1:10" ht="31.5" customHeight="1">
      <c r="A336" s="212">
        <v>4</v>
      </c>
      <c r="B336" s="213" t="s">
        <v>418</v>
      </c>
      <c r="F336" s="308" t="s">
        <v>19</v>
      </c>
      <c r="G336" s="309"/>
      <c r="H336" s="310"/>
      <c r="J336" s="258">
        <f>J83</f>
        <v>0</v>
      </c>
    </row>
    <row r="337" spans="1:10" ht="31.5" customHeight="1">
      <c r="A337" s="212">
        <v>5</v>
      </c>
      <c r="B337" s="213" t="s">
        <v>419</v>
      </c>
      <c r="F337" s="308" t="s">
        <v>20</v>
      </c>
      <c r="G337" s="309"/>
      <c r="H337" s="310"/>
      <c r="J337" s="258">
        <f>J120</f>
        <v>0</v>
      </c>
    </row>
    <row r="338" spans="1:13" ht="31.5" customHeight="1">
      <c r="A338" s="212">
        <v>6</v>
      </c>
      <c r="B338" s="213" t="s">
        <v>420</v>
      </c>
      <c r="F338" s="308" t="s">
        <v>21</v>
      </c>
      <c r="G338" s="309"/>
      <c r="H338" s="310"/>
      <c r="J338" s="258">
        <f>J139</f>
        <v>0</v>
      </c>
      <c r="M338" s="272"/>
    </row>
    <row r="339" spans="1:10" ht="31.5" customHeight="1">
      <c r="A339" s="212">
        <v>7</v>
      </c>
      <c r="B339" s="213" t="s">
        <v>421</v>
      </c>
      <c r="F339" s="308" t="s">
        <v>22</v>
      </c>
      <c r="G339" s="309"/>
      <c r="H339" s="310"/>
      <c r="J339" s="258">
        <f>J157</f>
        <v>0</v>
      </c>
    </row>
    <row r="340" spans="1:14" ht="31.5" customHeight="1">
      <c r="A340" s="212">
        <v>8</v>
      </c>
      <c r="B340" s="213" t="s">
        <v>422</v>
      </c>
      <c r="F340" s="308" t="s">
        <v>23</v>
      </c>
      <c r="G340" s="309"/>
      <c r="H340" s="310"/>
      <c r="J340" s="258">
        <f>J210</f>
        <v>0</v>
      </c>
      <c r="M340" s="272"/>
      <c r="N340" s="273"/>
    </row>
    <row r="341" spans="1:10" ht="31.5" customHeight="1">
      <c r="A341" s="212">
        <v>9</v>
      </c>
      <c r="B341" s="213" t="s">
        <v>423</v>
      </c>
      <c r="F341" s="308" t="s">
        <v>24</v>
      </c>
      <c r="G341" s="309"/>
      <c r="H341" s="310"/>
      <c r="J341" s="258">
        <f>J241</f>
        <v>0</v>
      </c>
    </row>
    <row r="342" spans="1:10" ht="31.5" customHeight="1">
      <c r="A342" s="212">
        <v>10</v>
      </c>
      <c r="B342" s="213" t="s">
        <v>424</v>
      </c>
      <c r="F342" s="308" t="s">
        <v>25</v>
      </c>
      <c r="G342" s="309"/>
      <c r="H342" s="310"/>
      <c r="J342" s="258">
        <f>J250</f>
        <v>0</v>
      </c>
    </row>
    <row r="343" spans="1:14" ht="31.5" customHeight="1">
      <c r="A343" s="212">
        <v>11</v>
      </c>
      <c r="B343" s="213" t="s">
        <v>425</v>
      </c>
      <c r="F343" s="308" t="s">
        <v>26</v>
      </c>
      <c r="G343" s="309"/>
      <c r="H343" s="310"/>
      <c r="J343" s="258">
        <f>J257</f>
        <v>0</v>
      </c>
      <c r="M343" s="272"/>
      <c r="N343" s="273"/>
    </row>
    <row r="344" spans="1:10" ht="31.5" customHeight="1">
      <c r="A344" s="212">
        <v>12</v>
      </c>
      <c r="B344" s="213" t="s">
        <v>66</v>
      </c>
      <c r="F344" s="308" t="s">
        <v>27</v>
      </c>
      <c r="G344" s="309"/>
      <c r="H344" s="310"/>
      <c r="J344" s="258">
        <f>J264</f>
        <v>0</v>
      </c>
    </row>
    <row r="345" spans="1:10" ht="31.5" customHeight="1">
      <c r="A345" s="212">
        <v>13</v>
      </c>
      <c r="B345" s="213" t="s">
        <v>324</v>
      </c>
      <c r="F345" s="308" t="s">
        <v>112</v>
      </c>
      <c r="G345" s="309"/>
      <c r="H345" s="310"/>
      <c r="J345" s="258">
        <f>J280</f>
        <v>0</v>
      </c>
    </row>
    <row r="346" spans="1:10" ht="31.5" customHeight="1">
      <c r="A346" s="212">
        <v>14</v>
      </c>
      <c r="B346" s="213" t="s">
        <v>311</v>
      </c>
      <c r="F346" s="308" t="s">
        <v>113</v>
      </c>
      <c r="G346" s="309"/>
      <c r="H346" s="310"/>
      <c r="J346" s="258">
        <f>J297</f>
        <v>0</v>
      </c>
    </row>
    <row r="347" spans="1:10" ht="31.5" customHeight="1">
      <c r="A347" s="212">
        <v>15</v>
      </c>
      <c r="B347" s="213" t="s">
        <v>484</v>
      </c>
      <c r="F347" s="308" t="s">
        <v>137</v>
      </c>
      <c r="G347" s="309"/>
      <c r="H347" s="310"/>
      <c r="J347" s="258">
        <f>J316</f>
        <v>0</v>
      </c>
    </row>
    <row r="348" spans="1:14" ht="31.5" customHeight="1">
      <c r="A348" s="212">
        <v>16</v>
      </c>
      <c r="B348" s="213" t="s">
        <v>136</v>
      </c>
      <c r="F348" s="308" t="s">
        <v>138</v>
      </c>
      <c r="G348" s="309"/>
      <c r="H348" s="310"/>
      <c r="J348" s="258">
        <f>J323</f>
        <v>0</v>
      </c>
      <c r="N348" s="273"/>
    </row>
    <row r="349" spans="1:10" ht="31.5" customHeight="1" thickBot="1">
      <c r="A349" s="214">
        <v>17</v>
      </c>
      <c r="B349" s="215" t="s">
        <v>111</v>
      </c>
      <c r="F349" s="311" t="s">
        <v>139</v>
      </c>
      <c r="G349" s="312"/>
      <c r="H349" s="313"/>
      <c r="J349" s="259"/>
    </row>
    <row r="352" ht="15" thickBot="1">
      <c r="J352" s="216"/>
    </row>
    <row r="353" spans="4:10" ht="37.5" customHeight="1" thickBot="1">
      <c r="D353" s="302" t="s">
        <v>473</v>
      </c>
      <c r="E353" s="303"/>
      <c r="F353" s="303"/>
      <c r="G353" s="303"/>
      <c r="H353" s="304"/>
      <c r="J353" s="217">
        <f>SUM(J333:J349)</f>
        <v>0</v>
      </c>
    </row>
    <row r="354" ht="15" thickBot="1"/>
    <row r="355" spans="4:10" ht="48" customHeight="1" thickBot="1">
      <c r="D355" s="305" t="s">
        <v>477</v>
      </c>
      <c r="E355" s="306"/>
      <c r="F355" s="306"/>
      <c r="G355" s="306"/>
      <c r="H355" s="307"/>
      <c r="J355" s="218">
        <f>J353*0.08</f>
        <v>0</v>
      </c>
    </row>
    <row r="356" ht="15" thickBot="1"/>
    <row r="357" spans="4:10" ht="42" customHeight="1" thickBot="1">
      <c r="D357" s="299" t="s">
        <v>426</v>
      </c>
      <c r="E357" s="300"/>
      <c r="F357" s="300"/>
      <c r="G357" s="300"/>
      <c r="H357" s="301"/>
      <c r="J357" s="218">
        <f>J355+J353</f>
        <v>0</v>
      </c>
    </row>
    <row r="358" ht="15" thickBot="1"/>
    <row r="359" spans="4:10" ht="35.25" customHeight="1" thickBot="1">
      <c r="D359" s="305" t="s">
        <v>476</v>
      </c>
      <c r="E359" s="306"/>
      <c r="F359" s="306"/>
      <c r="G359" s="306"/>
      <c r="H359" s="307"/>
      <c r="J359" s="218">
        <f>J357*0.08</f>
        <v>0</v>
      </c>
    </row>
    <row r="360" ht="15" thickBot="1"/>
    <row r="361" spans="4:10" ht="38.25" customHeight="1" thickBot="1">
      <c r="D361" s="299" t="s">
        <v>427</v>
      </c>
      <c r="E361" s="300"/>
      <c r="F361" s="300"/>
      <c r="G361" s="300"/>
      <c r="H361" s="301"/>
      <c r="J361" s="218">
        <f>J359+J357</f>
        <v>0</v>
      </c>
    </row>
    <row r="362" ht="15" thickBot="1"/>
    <row r="363" spans="4:10" ht="37.5" customHeight="1" thickBot="1">
      <c r="D363" s="299" t="s">
        <v>478</v>
      </c>
      <c r="E363" s="300"/>
      <c r="F363" s="300"/>
      <c r="G363" s="300"/>
      <c r="H363" s="301"/>
      <c r="J363" s="218">
        <f>J361*0.18</f>
        <v>0</v>
      </c>
    </row>
    <row r="364" ht="15" thickBot="1"/>
    <row r="365" spans="4:10" ht="36.75" customHeight="1" thickBot="1">
      <c r="D365" s="299" t="s">
        <v>427</v>
      </c>
      <c r="E365" s="300"/>
      <c r="F365" s="300"/>
      <c r="G365" s="300"/>
      <c r="H365" s="301"/>
      <c r="J365" s="218">
        <f>J363+J361</f>
        <v>0</v>
      </c>
    </row>
  </sheetData>
  <sheetProtection/>
  <mergeCells count="440">
    <mergeCell ref="F323:H323"/>
    <mergeCell ref="A331:J331"/>
    <mergeCell ref="F333:H333"/>
    <mergeCell ref="J274:J275"/>
    <mergeCell ref="F280:H280"/>
    <mergeCell ref="A274:A275"/>
    <mergeCell ref="G277:G278"/>
    <mergeCell ref="H284:H285"/>
    <mergeCell ref="D365:H365"/>
    <mergeCell ref="B318:J318"/>
    <mergeCell ref="A320:A321"/>
    <mergeCell ref="F320:F321"/>
    <mergeCell ref="G320:G321"/>
    <mergeCell ref="J310:J311"/>
    <mergeCell ref="D363:H363"/>
    <mergeCell ref="F345:H345"/>
    <mergeCell ref="H320:H321"/>
    <mergeCell ref="J320:J321"/>
    <mergeCell ref="A293:A294"/>
    <mergeCell ref="F293:F294"/>
    <mergeCell ref="G293:G294"/>
    <mergeCell ref="F297:H297"/>
    <mergeCell ref="B282:J282"/>
    <mergeCell ref="A268:A269"/>
    <mergeCell ref="F268:F269"/>
    <mergeCell ref="F277:F278"/>
    <mergeCell ref="A271:A272"/>
    <mergeCell ref="J290:J291"/>
    <mergeCell ref="A310:A311"/>
    <mergeCell ref="F310:F311"/>
    <mergeCell ref="G310:G311"/>
    <mergeCell ref="H310:H311"/>
    <mergeCell ref="G268:G269"/>
    <mergeCell ref="B243:J243"/>
    <mergeCell ref="A247:A248"/>
    <mergeCell ref="F247:F248"/>
    <mergeCell ref="H268:H269"/>
    <mergeCell ref="J268:J269"/>
    <mergeCell ref="J189:J190"/>
    <mergeCell ref="A198:A199"/>
    <mergeCell ref="A201:A202"/>
    <mergeCell ref="F201:F202"/>
    <mergeCell ref="A189:A190"/>
    <mergeCell ref="A195:A196"/>
    <mergeCell ref="F195:F196"/>
    <mergeCell ref="J201:J202"/>
    <mergeCell ref="G195:G196"/>
    <mergeCell ref="H195:H196"/>
    <mergeCell ref="F171:F172"/>
    <mergeCell ref="F183:F184"/>
    <mergeCell ref="F148:F149"/>
    <mergeCell ref="G148:G149"/>
    <mergeCell ref="H148:H149"/>
    <mergeCell ref="J148:J149"/>
    <mergeCell ref="F151:F152"/>
    <mergeCell ref="B160:J160"/>
    <mergeCell ref="G162:G163"/>
    <mergeCell ref="H162:H163"/>
    <mergeCell ref="G189:G190"/>
    <mergeCell ref="H189:H190"/>
    <mergeCell ref="A151:A152"/>
    <mergeCell ref="G151:G152"/>
    <mergeCell ref="H151:H152"/>
    <mergeCell ref="J151:J152"/>
    <mergeCell ref="A180:A181"/>
    <mergeCell ref="G183:G184"/>
    <mergeCell ref="F177:F178"/>
    <mergeCell ref="F162:F163"/>
    <mergeCell ref="J214:J215"/>
    <mergeCell ref="J223:J224"/>
    <mergeCell ref="J180:J181"/>
    <mergeCell ref="F157:H157"/>
    <mergeCell ref="H183:H184"/>
    <mergeCell ref="J195:J196"/>
    <mergeCell ref="J192:J193"/>
    <mergeCell ref="F192:F193"/>
    <mergeCell ref="G192:G193"/>
    <mergeCell ref="F189:F190"/>
    <mergeCell ref="A33:A34"/>
    <mergeCell ref="F33:F34"/>
    <mergeCell ref="G33:G34"/>
    <mergeCell ref="H33:H34"/>
    <mergeCell ref="J33:J34"/>
    <mergeCell ref="G229:G230"/>
    <mergeCell ref="G201:G202"/>
    <mergeCell ref="H201:H202"/>
    <mergeCell ref="J226:J227"/>
    <mergeCell ref="H229:H230"/>
    <mergeCell ref="J42:J43"/>
    <mergeCell ref="H48:H49"/>
    <mergeCell ref="J48:J49"/>
    <mergeCell ref="F51:H51"/>
    <mergeCell ref="J57:J58"/>
    <mergeCell ref="J36:J37"/>
    <mergeCell ref="H39:H40"/>
    <mergeCell ref="F39:F40"/>
    <mergeCell ref="F348:H348"/>
    <mergeCell ref="G220:G221"/>
    <mergeCell ref="A232:A233"/>
    <mergeCell ref="A214:A215"/>
    <mergeCell ref="A3:B3"/>
    <mergeCell ref="D3:J4"/>
    <mergeCell ref="A6:B6"/>
    <mergeCell ref="D6:J6"/>
    <mergeCell ref="A7:B7"/>
    <mergeCell ref="F83:H83"/>
    <mergeCell ref="A36:A37"/>
    <mergeCell ref="F36:F37"/>
    <mergeCell ref="G36:G37"/>
    <mergeCell ref="H36:H37"/>
    <mergeCell ref="G39:G40"/>
    <mergeCell ref="H192:H193"/>
    <mergeCell ref="A80:A81"/>
    <mergeCell ref="F42:F43"/>
    <mergeCell ref="G42:G43"/>
    <mergeCell ref="H42:H43"/>
    <mergeCell ref="J39:J40"/>
    <mergeCell ref="G30:G31"/>
    <mergeCell ref="A30:A31"/>
    <mergeCell ref="H220:H221"/>
    <mergeCell ref="J220:J221"/>
    <mergeCell ref="H57:H58"/>
    <mergeCell ref="F214:F215"/>
    <mergeCell ref="G214:G215"/>
    <mergeCell ref="A207:A208"/>
    <mergeCell ref="A48:A49"/>
    <mergeCell ref="H27:H28"/>
    <mergeCell ref="F30:F31"/>
    <mergeCell ref="J27:J28"/>
    <mergeCell ref="J30:J31"/>
    <mergeCell ref="A24:A25"/>
    <mergeCell ref="F24:F25"/>
    <mergeCell ref="G24:G25"/>
    <mergeCell ref="H24:H25"/>
    <mergeCell ref="J24:J25"/>
    <mergeCell ref="H30:H31"/>
    <mergeCell ref="D7:J7"/>
    <mergeCell ref="B19:J19"/>
    <mergeCell ref="A21:A22"/>
    <mergeCell ref="F21:F22"/>
    <mergeCell ref="G21:G22"/>
    <mergeCell ref="A27:A28"/>
    <mergeCell ref="H21:H22"/>
    <mergeCell ref="I21:I22"/>
    <mergeCell ref="J21:J22"/>
    <mergeCell ref="G27:G28"/>
    <mergeCell ref="F48:F49"/>
    <mergeCell ref="G48:G49"/>
    <mergeCell ref="F27:F28"/>
    <mergeCell ref="A60:A61"/>
    <mergeCell ref="F60:F61"/>
    <mergeCell ref="G60:G61"/>
    <mergeCell ref="A45:A46"/>
    <mergeCell ref="G45:G46"/>
    <mergeCell ref="A42:A43"/>
    <mergeCell ref="A39:A40"/>
    <mergeCell ref="A70:A71"/>
    <mergeCell ref="D72:D73"/>
    <mergeCell ref="F75:H75"/>
    <mergeCell ref="H60:H61"/>
    <mergeCell ref="J60:J61"/>
    <mergeCell ref="B53:J53"/>
    <mergeCell ref="A55:B55"/>
    <mergeCell ref="A57:A58"/>
    <mergeCell ref="F57:F58"/>
    <mergeCell ref="G57:G58"/>
    <mergeCell ref="F66:H66"/>
    <mergeCell ref="A63:A64"/>
    <mergeCell ref="F63:F64"/>
    <mergeCell ref="H63:H64"/>
    <mergeCell ref="J63:J64"/>
    <mergeCell ref="B68:J68"/>
    <mergeCell ref="A93:A94"/>
    <mergeCell ref="F93:F94"/>
    <mergeCell ref="G93:G94"/>
    <mergeCell ref="H93:H94"/>
    <mergeCell ref="B85:J85"/>
    <mergeCell ref="A90:A91"/>
    <mergeCell ref="F96:F97"/>
    <mergeCell ref="G96:G97"/>
    <mergeCell ref="H96:H97"/>
    <mergeCell ref="J96:J97"/>
    <mergeCell ref="H90:H91"/>
    <mergeCell ref="B78:J78"/>
    <mergeCell ref="F80:F81"/>
    <mergeCell ref="G80:G81"/>
    <mergeCell ref="H80:H81"/>
    <mergeCell ref="J80:J81"/>
    <mergeCell ref="A99:A100"/>
    <mergeCell ref="F99:F100"/>
    <mergeCell ref="G99:G100"/>
    <mergeCell ref="H99:H100"/>
    <mergeCell ref="J99:J100"/>
    <mergeCell ref="F90:F91"/>
    <mergeCell ref="A96:A97"/>
    <mergeCell ref="G90:G91"/>
    <mergeCell ref="J93:J94"/>
    <mergeCell ref="J90:J91"/>
    <mergeCell ref="A102:A103"/>
    <mergeCell ref="F102:F103"/>
    <mergeCell ref="G102:G103"/>
    <mergeCell ref="H102:H103"/>
    <mergeCell ref="J102:J103"/>
    <mergeCell ref="A105:A106"/>
    <mergeCell ref="F105:F106"/>
    <mergeCell ref="G105:G106"/>
    <mergeCell ref="H105:H106"/>
    <mergeCell ref="J105:J106"/>
    <mergeCell ref="A108:A109"/>
    <mergeCell ref="F108:F109"/>
    <mergeCell ref="G108:G109"/>
    <mergeCell ref="H108:H109"/>
    <mergeCell ref="J108:J109"/>
    <mergeCell ref="A111:A112"/>
    <mergeCell ref="F111:F112"/>
    <mergeCell ref="G111:G112"/>
    <mergeCell ref="H111:H112"/>
    <mergeCell ref="J111:J112"/>
    <mergeCell ref="J127:J128"/>
    <mergeCell ref="A124:A125"/>
    <mergeCell ref="F124:F125"/>
    <mergeCell ref="G124:G125"/>
    <mergeCell ref="H124:H125"/>
    <mergeCell ref="J124:J125"/>
    <mergeCell ref="A130:A131"/>
    <mergeCell ref="F130:F131"/>
    <mergeCell ref="G130:G131"/>
    <mergeCell ref="H130:H131"/>
    <mergeCell ref="A127:A128"/>
    <mergeCell ref="F127:F128"/>
    <mergeCell ref="G127:G128"/>
    <mergeCell ref="H127:H128"/>
    <mergeCell ref="F139:H139"/>
    <mergeCell ref="A145:A146"/>
    <mergeCell ref="F145:F146"/>
    <mergeCell ref="J204:J205"/>
    <mergeCell ref="J130:J131"/>
    <mergeCell ref="A133:A134"/>
    <mergeCell ref="F133:F134"/>
    <mergeCell ref="G133:G134"/>
    <mergeCell ref="H133:H134"/>
    <mergeCell ref="J133:J134"/>
    <mergeCell ref="H145:H146"/>
    <mergeCell ref="J145:J146"/>
    <mergeCell ref="A204:A205"/>
    <mergeCell ref="F204:F205"/>
    <mergeCell ref="G204:G205"/>
    <mergeCell ref="H204:H205"/>
    <mergeCell ref="A192:A193"/>
    <mergeCell ref="F198:F199"/>
    <mergeCell ref="G198:G199"/>
    <mergeCell ref="H198:H199"/>
    <mergeCell ref="A148:A149"/>
    <mergeCell ref="A136:A137"/>
    <mergeCell ref="F136:F137"/>
    <mergeCell ref="G145:G146"/>
    <mergeCell ref="G136:G137"/>
    <mergeCell ref="J154:J155"/>
    <mergeCell ref="A154:A155"/>
    <mergeCell ref="F154:F155"/>
    <mergeCell ref="G154:G155"/>
    <mergeCell ref="H154:H155"/>
    <mergeCell ref="H136:H137"/>
    <mergeCell ref="J136:J137"/>
    <mergeCell ref="A217:A218"/>
    <mergeCell ref="F217:F218"/>
    <mergeCell ref="G217:G218"/>
    <mergeCell ref="H217:H218"/>
    <mergeCell ref="J217:J218"/>
    <mergeCell ref="G165:G166"/>
    <mergeCell ref="A171:A172"/>
    <mergeCell ref="A162:A163"/>
    <mergeCell ref="J162:J163"/>
    <mergeCell ref="H186:H187"/>
    <mergeCell ref="J186:J187"/>
    <mergeCell ref="G177:G178"/>
    <mergeCell ref="H177:H178"/>
    <mergeCell ref="H165:H166"/>
    <mergeCell ref="J183:J184"/>
    <mergeCell ref="J177:J178"/>
    <mergeCell ref="G168:G169"/>
    <mergeCell ref="H168:H169"/>
    <mergeCell ref="H171:H172"/>
    <mergeCell ref="J171:J172"/>
    <mergeCell ref="G171:G172"/>
    <mergeCell ref="J207:J208"/>
    <mergeCell ref="F210:H210"/>
    <mergeCell ref="H214:H215"/>
    <mergeCell ref="J198:J199"/>
    <mergeCell ref="F180:F181"/>
    <mergeCell ref="G180:G181"/>
    <mergeCell ref="H180:H181"/>
    <mergeCell ref="A229:A230"/>
    <mergeCell ref="A226:A227"/>
    <mergeCell ref="F226:F227"/>
    <mergeCell ref="J235:J236"/>
    <mergeCell ref="G226:G227"/>
    <mergeCell ref="H226:H227"/>
    <mergeCell ref="F232:F233"/>
    <mergeCell ref="F229:F230"/>
    <mergeCell ref="J232:J233"/>
    <mergeCell ref="J229:J230"/>
    <mergeCell ref="G247:G248"/>
    <mergeCell ref="H247:H248"/>
    <mergeCell ref="A223:A224"/>
    <mergeCell ref="F223:F224"/>
    <mergeCell ref="G223:G224"/>
    <mergeCell ref="H223:H224"/>
    <mergeCell ref="G232:G233"/>
    <mergeCell ref="H232:H233"/>
    <mergeCell ref="G235:G236"/>
    <mergeCell ref="H235:H236"/>
    <mergeCell ref="G254:G255"/>
    <mergeCell ref="H254:H255"/>
    <mergeCell ref="J254:J255"/>
    <mergeCell ref="F271:F272"/>
    <mergeCell ref="G271:G272"/>
    <mergeCell ref="F238:F239"/>
    <mergeCell ref="G238:G239"/>
    <mergeCell ref="H238:H239"/>
    <mergeCell ref="J238:J239"/>
    <mergeCell ref="F241:H241"/>
    <mergeCell ref="F347:H347"/>
    <mergeCell ref="A290:A291"/>
    <mergeCell ref="F290:F291"/>
    <mergeCell ref="G290:G291"/>
    <mergeCell ref="H290:H291"/>
    <mergeCell ref="F334:H334"/>
    <mergeCell ref="F335:H335"/>
    <mergeCell ref="F336:H336"/>
    <mergeCell ref="H293:H294"/>
    <mergeCell ref="F337:H337"/>
    <mergeCell ref="F338:H338"/>
    <mergeCell ref="F339:H339"/>
    <mergeCell ref="F340:H340"/>
    <mergeCell ref="F341:H341"/>
    <mergeCell ref="A254:A255"/>
    <mergeCell ref="F254:F255"/>
    <mergeCell ref="F257:H257"/>
    <mergeCell ref="B266:J266"/>
    <mergeCell ref="J293:J294"/>
    <mergeCell ref="A277:A278"/>
    <mergeCell ref="D361:H361"/>
    <mergeCell ref="D353:H353"/>
    <mergeCell ref="D355:H355"/>
    <mergeCell ref="D357:H357"/>
    <mergeCell ref="D359:H359"/>
    <mergeCell ref="F342:H342"/>
    <mergeCell ref="F343:H343"/>
    <mergeCell ref="F346:H346"/>
    <mergeCell ref="F344:H344"/>
    <mergeCell ref="F349:H349"/>
    <mergeCell ref="A186:A187"/>
    <mergeCell ref="A183:A184"/>
    <mergeCell ref="F220:F221"/>
    <mergeCell ref="J165:J166"/>
    <mergeCell ref="B212:J212"/>
    <mergeCell ref="F186:F187"/>
    <mergeCell ref="G186:G187"/>
    <mergeCell ref="F207:F208"/>
    <mergeCell ref="G207:G208"/>
    <mergeCell ref="H207:H208"/>
    <mergeCell ref="A165:A166"/>
    <mergeCell ref="F165:F166"/>
    <mergeCell ref="F274:F275"/>
    <mergeCell ref="G274:G275"/>
    <mergeCell ref="H274:H275"/>
    <mergeCell ref="A174:A175"/>
    <mergeCell ref="F174:F175"/>
    <mergeCell ref="A238:A239"/>
    <mergeCell ref="A235:A236"/>
    <mergeCell ref="F264:H264"/>
    <mergeCell ref="A220:A221"/>
    <mergeCell ref="F235:F236"/>
    <mergeCell ref="A261:A262"/>
    <mergeCell ref="F261:F262"/>
    <mergeCell ref="A177:A178"/>
    <mergeCell ref="F45:F46"/>
    <mergeCell ref="A168:A169"/>
    <mergeCell ref="F168:F169"/>
    <mergeCell ref="A114:A115"/>
    <mergeCell ref="F114:F115"/>
    <mergeCell ref="J168:J169"/>
    <mergeCell ref="G174:G175"/>
    <mergeCell ref="H174:H175"/>
    <mergeCell ref="J174:J175"/>
    <mergeCell ref="G287:G288"/>
    <mergeCell ref="H287:H288"/>
    <mergeCell ref="J287:J288"/>
    <mergeCell ref="J261:J262"/>
    <mergeCell ref="F250:H250"/>
    <mergeCell ref="B252:J252"/>
    <mergeCell ref="J284:J285"/>
    <mergeCell ref="A284:A285"/>
    <mergeCell ref="F284:F285"/>
    <mergeCell ref="G284:G285"/>
    <mergeCell ref="H277:H278"/>
    <mergeCell ref="J277:J278"/>
    <mergeCell ref="A287:A288"/>
    <mergeCell ref="F287:F288"/>
    <mergeCell ref="H45:H46"/>
    <mergeCell ref="J45:J46"/>
    <mergeCell ref="H271:H272"/>
    <mergeCell ref="J271:J272"/>
    <mergeCell ref="B259:J259"/>
    <mergeCell ref="G261:G262"/>
    <mergeCell ref="H261:H262"/>
    <mergeCell ref="J247:J248"/>
    <mergeCell ref="B299:J299"/>
    <mergeCell ref="A301:A302"/>
    <mergeCell ref="F301:F302"/>
    <mergeCell ref="G301:G302"/>
    <mergeCell ref="H301:H302"/>
    <mergeCell ref="J301:J302"/>
    <mergeCell ref="A304:A305"/>
    <mergeCell ref="F304:F305"/>
    <mergeCell ref="G304:G305"/>
    <mergeCell ref="H304:H305"/>
    <mergeCell ref="J304:J305"/>
    <mergeCell ref="A307:A308"/>
    <mergeCell ref="F307:F308"/>
    <mergeCell ref="G307:G308"/>
    <mergeCell ref="H307:H308"/>
    <mergeCell ref="J307:J308"/>
    <mergeCell ref="A313:A314"/>
    <mergeCell ref="F313:F314"/>
    <mergeCell ref="G313:G314"/>
    <mergeCell ref="H313:H314"/>
    <mergeCell ref="J313:J314"/>
    <mergeCell ref="F316:H316"/>
    <mergeCell ref="G114:G115"/>
    <mergeCell ref="H114:H115"/>
    <mergeCell ref="J114:J115"/>
    <mergeCell ref="B122:J122"/>
    <mergeCell ref="A117:A118"/>
    <mergeCell ref="F117:F118"/>
    <mergeCell ref="G117:G118"/>
    <mergeCell ref="H117:H118"/>
    <mergeCell ref="J117:J118"/>
    <mergeCell ref="F120:H120"/>
  </mergeCells>
  <printOptions horizontalCentered="1"/>
  <pageMargins left="0.11811023622047245" right="0.11811023622047245" top="0.1968503937007874" bottom="0.15748031496062992" header="0" footer="0"/>
  <pageSetup fitToHeight="1" fitToWidth="1" horizontalDpi="600" verticalDpi="600" orientation="portrait" paperSize="9" scale="13" r:id="rId1"/>
</worksheet>
</file>

<file path=xl/worksheets/sheet2.xml><?xml version="1.0" encoding="utf-8"?>
<worksheet xmlns="http://schemas.openxmlformats.org/spreadsheetml/2006/main" xmlns:r="http://schemas.openxmlformats.org/officeDocument/2006/relationships">
  <dimension ref="A1:H50"/>
  <sheetViews>
    <sheetView view="pageBreakPreview" zoomScale="115" zoomScaleSheetLayoutView="115" zoomScalePageLayoutView="0" workbookViewId="0" topLeftCell="A25">
      <selection activeCell="F34" sqref="F34"/>
    </sheetView>
  </sheetViews>
  <sheetFormatPr defaultColWidth="9.140625" defaultRowHeight="12.75"/>
  <cols>
    <col min="1" max="1" width="5.140625" style="58" customWidth="1"/>
    <col min="2" max="2" width="63.28125" style="59" customWidth="1"/>
    <col min="3" max="3" width="11.00390625" style="58" bestFit="1" customWidth="1"/>
    <col min="4" max="4" width="13.7109375" style="55" customWidth="1"/>
    <col min="5" max="5" width="15.140625" style="57" customWidth="1"/>
    <col min="6" max="6" width="15.7109375" style="56" bestFit="1" customWidth="1"/>
    <col min="7" max="7" width="11.140625" style="55" hidden="1" customWidth="1"/>
    <col min="8" max="8" width="15.57421875" style="55" hidden="1" customWidth="1"/>
    <col min="9" max="16384" width="9.140625" style="55" customWidth="1"/>
  </cols>
  <sheetData>
    <row r="1" spans="1:6" s="226" customFormat="1" ht="39.75" customHeight="1" thickBot="1">
      <c r="A1" s="365" t="s">
        <v>449</v>
      </c>
      <c r="B1" s="366"/>
      <c r="C1" s="366"/>
      <c r="D1" s="366"/>
      <c r="E1" s="366"/>
      <c r="F1" s="367"/>
    </row>
    <row r="2" spans="1:8" ht="20.25" customHeight="1" hidden="1" thickBot="1">
      <c r="A2" s="115"/>
      <c r="B2" s="116"/>
      <c r="C2" s="116"/>
      <c r="D2" s="355" t="s">
        <v>191</v>
      </c>
      <c r="E2" s="356"/>
      <c r="F2" s="357"/>
      <c r="G2" s="360" t="s">
        <v>190</v>
      </c>
      <c r="H2" s="361"/>
    </row>
    <row r="3" spans="1:8" s="250" customFormat="1" ht="43.5" customHeight="1">
      <c r="A3" s="248" t="s">
        <v>189</v>
      </c>
      <c r="B3" s="249" t="s">
        <v>188</v>
      </c>
      <c r="C3" s="248" t="s">
        <v>187</v>
      </c>
      <c r="D3" s="248" t="s">
        <v>185</v>
      </c>
      <c r="E3" s="248" t="s">
        <v>186</v>
      </c>
      <c r="F3" s="248" t="s">
        <v>251</v>
      </c>
      <c r="G3" s="248" t="s">
        <v>185</v>
      </c>
      <c r="H3" s="248" t="s">
        <v>184</v>
      </c>
    </row>
    <row r="4" spans="1:8" s="227" customFormat="1" ht="20.25" customHeight="1">
      <c r="A4" s="362" t="s">
        <v>384</v>
      </c>
      <c r="B4" s="362"/>
      <c r="C4" s="362"/>
      <c r="D4" s="362"/>
      <c r="E4" s="362"/>
      <c r="F4" s="362"/>
      <c r="G4" s="362"/>
      <c r="H4" s="362"/>
    </row>
    <row r="5" spans="1:8" s="227" customFormat="1" ht="20.25" customHeight="1">
      <c r="A5" s="247"/>
      <c r="B5" s="362" t="s">
        <v>385</v>
      </c>
      <c r="C5" s="362"/>
      <c r="D5" s="362"/>
      <c r="E5" s="362"/>
      <c r="F5" s="362"/>
      <c r="G5" s="362"/>
      <c r="H5" s="362"/>
    </row>
    <row r="6" spans="1:8" s="229" customFormat="1" ht="11.25">
      <c r="A6" s="364">
        <v>1</v>
      </c>
      <c r="B6" s="228" t="s">
        <v>286</v>
      </c>
      <c r="C6" s="363" t="s">
        <v>176</v>
      </c>
      <c r="D6" s="358">
        <v>1</v>
      </c>
      <c r="E6" s="359"/>
      <c r="F6" s="359"/>
      <c r="G6" s="358">
        <v>1</v>
      </c>
      <c r="H6" s="354">
        <v>350</v>
      </c>
    </row>
    <row r="7" spans="1:8" s="229" customFormat="1" ht="22.5">
      <c r="A7" s="364"/>
      <c r="B7" s="228" t="s">
        <v>285</v>
      </c>
      <c r="C7" s="363"/>
      <c r="D7" s="358"/>
      <c r="E7" s="359"/>
      <c r="F7" s="359"/>
      <c r="G7" s="358"/>
      <c r="H7" s="354"/>
    </row>
    <row r="8" spans="1:8" s="229" customFormat="1" ht="22.5">
      <c r="A8" s="364">
        <v>2</v>
      </c>
      <c r="B8" s="228" t="s">
        <v>287</v>
      </c>
      <c r="C8" s="363" t="s">
        <v>176</v>
      </c>
      <c r="D8" s="358">
        <v>3</v>
      </c>
      <c r="E8" s="359"/>
      <c r="F8" s="359"/>
      <c r="G8" s="358">
        <v>2</v>
      </c>
      <c r="H8" s="354">
        <v>360</v>
      </c>
    </row>
    <row r="9" spans="1:8" s="229" customFormat="1" ht="28.5" customHeight="1">
      <c r="A9" s="364"/>
      <c r="B9" s="228" t="s">
        <v>448</v>
      </c>
      <c r="C9" s="363"/>
      <c r="D9" s="358"/>
      <c r="E9" s="359"/>
      <c r="F9" s="359"/>
      <c r="G9" s="358"/>
      <c r="H9" s="354"/>
    </row>
    <row r="10" spans="1:8" s="229" customFormat="1" ht="30" customHeight="1">
      <c r="A10" s="364">
        <v>3</v>
      </c>
      <c r="B10" s="228" t="s">
        <v>183</v>
      </c>
      <c r="C10" s="363" t="s">
        <v>13</v>
      </c>
      <c r="D10" s="358">
        <v>600</v>
      </c>
      <c r="E10" s="359"/>
      <c r="F10" s="359"/>
      <c r="G10" s="358">
        <v>250</v>
      </c>
      <c r="H10" s="354">
        <v>375</v>
      </c>
    </row>
    <row r="11" spans="1:8" s="229" customFormat="1" ht="31.5" customHeight="1">
      <c r="A11" s="364"/>
      <c r="B11" s="228" t="s">
        <v>182</v>
      </c>
      <c r="C11" s="363"/>
      <c r="D11" s="358"/>
      <c r="E11" s="359"/>
      <c r="F11" s="359"/>
      <c r="G11" s="358"/>
      <c r="H11" s="354"/>
    </row>
    <row r="12" spans="1:8" s="230" customFormat="1" ht="27" customHeight="1">
      <c r="A12" s="364">
        <v>4</v>
      </c>
      <c r="B12" s="228" t="s">
        <v>181</v>
      </c>
      <c r="C12" s="363" t="s">
        <v>13</v>
      </c>
      <c r="D12" s="358">
        <v>1200</v>
      </c>
      <c r="E12" s="359"/>
      <c r="F12" s="359"/>
      <c r="G12" s="358">
        <v>600</v>
      </c>
      <c r="H12" s="354">
        <v>1080</v>
      </c>
    </row>
    <row r="13" spans="1:8" s="230" customFormat="1" ht="30.75" customHeight="1">
      <c r="A13" s="364"/>
      <c r="B13" s="228" t="s">
        <v>180</v>
      </c>
      <c r="C13" s="363"/>
      <c r="D13" s="358"/>
      <c r="E13" s="359"/>
      <c r="F13" s="359"/>
      <c r="G13" s="358"/>
      <c r="H13" s="354"/>
    </row>
    <row r="14" spans="1:8" s="230" customFormat="1" ht="24" customHeight="1">
      <c r="A14" s="364">
        <v>5</v>
      </c>
      <c r="B14" s="228" t="s">
        <v>288</v>
      </c>
      <c r="C14" s="363" t="s">
        <v>13</v>
      </c>
      <c r="D14" s="358">
        <v>70</v>
      </c>
      <c r="E14" s="359"/>
      <c r="F14" s="359"/>
      <c r="G14" s="358">
        <v>600</v>
      </c>
      <c r="H14" s="354">
        <v>1080</v>
      </c>
    </row>
    <row r="15" spans="1:8" s="230" customFormat="1" ht="22.5">
      <c r="A15" s="364"/>
      <c r="B15" s="228" t="s">
        <v>289</v>
      </c>
      <c r="C15" s="363"/>
      <c r="D15" s="358"/>
      <c r="E15" s="359"/>
      <c r="F15" s="359"/>
      <c r="G15" s="358"/>
      <c r="H15" s="354"/>
    </row>
    <row r="16" spans="1:8" s="230" customFormat="1" ht="23.25" customHeight="1">
      <c r="A16" s="364">
        <v>6</v>
      </c>
      <c r="B16" s="228" t="s">
        <v>290</v>
      </c>
      <c r="C16" s="363" t="s">
        <v>444</v>
      </c>
      <c r="D16" s="358">
        <v>8</v>
      </c>
      <c r="E16" s="359"/>
      <c r="F16" s="359"/>
      <c r="G16" s="358">
        <v>80</v>
      </c>
      <c r="H16" s="354">
        <v>960</v>
      </c>
    </row>
    <row r="17" spans="1:8" s="230" customFormat="1" ht="22.5" customHeight="1">
      <c r="A17" s="364"/>
      <c r="B17" s="228" t="s">
        <v>291</v>
      </c>
      <c r="C17" s="363"/>
      <c r="D17" s="358"/>
      <c r="E17" s="359"/>
      <c r="F17" s="359"/>
      <c r="G17" s="358"/>
      <c r="H17" s="354"/>
    </row>
    <row r="18" spans="1:8" s="230" customFormat="1" ht="30" customHeight="1">
      <c r="A18" s="364">
        <v>7</v>
      </c>
      <c r="B18" s="228" t="s">
        <v>179</v>
      </c>
      <c r="C18" s="363" t="s">
        <v>444</v>
      </c>
      <c r="D18" s="358">
        <v>180</v>
      </c>
      <c r="E18" s="359"/>
      <c r="F18" s="359"/>
      <c r="G18" s="358">
        <v>80</v>
      </c>
      <c r="H18" s="354">
        <v>960</v>
      </c>
    </row>
    <row r="19" spans="1:8" s="230" customFormat="1" ht="30" customHeight="1">
      <c r="A19" s="364"/>
      <c r="B19" s="228" t="s">
        <v>178</v>
      </c>
      <c r="C19" s="363"/>
      <c r="D19" s="358"/>
      <c r="E19" s="359"/>
      <c r="F19" s="359"/>
      <c r="G19" s="358"/>
      <c r="H19" s="354"/>
    </row>
    <row r="20" spans="1:8" s="230" customFormat="1" ht="27" customHeight="1">
      <c r="A20" s="364">
        <v>8</v>
      </c>
      <c r="B20" s="228" t="s">
        <v>177</v>
      </c>
      <c r="C20" s="363" t="s">
        <v>176</v>
      </c>
      <c r="D20" s="358">
        <v>60</v>
      </c>
      <c r="E20" s="359"/>
      <c r="F20" s="359"/>
      <c r="G20" s="358">
        <v>42</v>
      </c>
      <c r="H20" s="354">
        <v>504</v>
      </c>
    </row>
    <row r="21" spans="1:8" s="230" customFormat="1" ht="30" customHeight="1">
      <c r="A21" s="364"/>
      <c r="B21" s="228" t="s">
        <v>175</v>
      </c>
      <c r="C21" s="363"/>
      <c r="D21" s="358"/>
      <c r="E21" s="359"/>
      <c r="F21" s="359"/>
      <c r="G21" s="358"/>
      <c r="H21" s="354"/>
    </row>
    <row r="22" spans="1:8" s="230" customFormat="1" ht="25.5" customHeight="1">
      <c r="A22" s="364">
        <v>9</v>
      </c>
      <c r="B22" s="228" t="s">
        <v>174</v>
      </c>
      <c r="C22" s="363" t="s">
        <v>445</v>
      </c>
      <c r="D22" s="358">
        <v>170</v>
      </c>
      <c r="E22" s="359"/>
      <c r="F22" s="359"/>
      <c r="G22" s="358">
        <v>42</v>
      </c>
      <c r="H22" s="354">
        <v>2100</v>
      </c>
    </row>
    <row r="23" spans="1:8" s="230" customFormat="1" ht="30.75" customHeight="1">
      <c r="A23" s="364"/>
      <c r="B23" s="228" t="s">
        <v>173</v>
      </c>
      <c r="C23" s="363"/>
      <c r="D23" s="358"/>
      <c r="E23" s="359"/>
      <c r="F23" s="359"/>
      <c r="G23" s="358"/>
      <c r="H23" s="354"/>
    </row>
    <row r="24" spans="1:8" s="230" customFormat="1" ht="15.75" customHeight="1">
      <c r="A24" s="364">
        <v>10</v>
      </c>
      <c r="B24" s="228" t="s">
        <v>386</v>
      </c>
      <c r="C24" s="363" t="s">
        <v>446</v>
      </c>
      <c r="D24" s="358">
        <v>20</v>
      </c>
      <c r="E24" s="359"/>
      <c r="F24" s="359"/>
      <c r="G24" s="358">
        <v>20</v>
      </c>
      <c r="H24" s="354">
        <v>260</v>
      </c>
    </row>
    <row r="25" spans="1:8" s="230" customFormat="1" ht="15.75" customHeight="1">
      <c r="A25" s="364"/>
      <c r="B25" s="228" t="s">
        <v>172</v>
      </c>
      <c r="C25" s="363"/>
      <c r="D25" s="358"/>
      <c r="E25" s="359"/>
      <c r="F25" s="359"/>
      <c r="G25" s="358"/>
      <c r="H25" s="354"/>
    </row>
    <row r="26" spans="1:8" s="230" customFormat="1" ht="15.75" customHeight="1">
      <c r="A26" s="364">
        <v>11</v>
      </c>
      <c r="B26" s="228" t="s">
        <v>387</v>
      </c>
      <c r="C26" s="363" t="s">
        <v>447</v>
      </c>
      <c r="D26" s="358">
        <v>100</v>
      </c>
      <c r="E26" s="359"/>
      <c r="F26" s="359"/>
      <c r="G26" s="358">
        <v>100</v>
      </c>
      <c r="H26" s="354">
        <v>1200</v>
      </c>
    </row>
    <row r="27" spans="1:8" s="230" customFormat="1" ht="15.75" customHeight="1">
      <c r="A27" s="364"/>
      <c r="B27" s="228" t="s">
        <v>171</v>
      </c>
      <c r="C27" s="363"/>
      <c r="D27" s="358"/>
      <c r="E27" s="359"/>
      <c r="F27" s="359"/>
      <c r="G27" s="358"/>
      <c r="H27" s="354"/>
    </row>
    <row r="28" spans="1:8" s="230" customFormat="1" ht="15.75" customHeight="1">
      <c r="A28" s="364">
        <v>12</v>
      </c>
      <c r="B28" s="228" t="s">
        <v>170</v>
      </c>
      <c r="C28" s="363" t="s">
        <v>447</v>
      </c>
      <c r="D28" s="358">
        <v>1</v>
      </c>
      <c r="E28" s="359"/>
      <c r="F28" s="359"/>
      <c r="G28" s="358">
        <v>1</v>
      </c>
      <c r="H28" s="354">
        <v>200</v>
      </c>
    </row>
    <row r="29" spans="1:8" s="230" customFormat="1" ht="15.75" customHeight="1">
      <c r="A29" s="364"/>
      <c r="B29" s="228" t="s">
        <v>169</v>
      </c>
      <c r="C29" s="363"/>
      <c r="D29" s="358"/>
      <c r="E29" s="359"/>
      <c r="F29" s="359"/>
      <c r="G29" s="358"/>
      <c r="H29" s="354"/>
    </row>
    <row r="30" spans="1:8" s="230" customFormat="1" ht="30.75" customHeight="1">
      <c r="A30" s="364">
        <v>13</v>
      </c>
      <c r="B30" s="228" t="s">
        <v>168</v>
      </c>
      <c r="C30" s="363" t="s">
        <v>167</v>
      </c>
      <c r="D30" s="358">
        <v>1</v>
      </c>
      <c r="E30" s="359"/>
      <c r="F30" s="359"/>
      <c r="G30" s="358">
        <v>1</v>
      </c>
      <c r="H30" s="354">
        <v>300</v>
      </c>
    </row>
    <row r="31" spans="1:8" s="230" customFormat="1" ht="18" customHeight="1">
      <c r="A31" s="364"/>
      <c r="B31" s="228" t="s">
        <v>250</v>
      </c>
      <c r="C31" s="363"/>
      <c r="D31" s="358"/>
      <c r="E31" s="359"/>
      <c r="F31" s="359"/>
      <c r="G31" s="358"/>
      <c r="H31" s="354"/>
    </row>
    <row r="32" spans="1:8" s="230" customFormat="1" ht="18" customHeight="1">
      <c r="A32" s="231"/>
      <c r="B32" s="232"/>
      <c r="C32" s="231"/>
      <c r="D32" s="233"/>
      <c r="E32" s="234" t="s">
        <v>166</v>
      </c>
      <c r="F32" s="235">
        <f>SUM(F6:F31)</f>
        <v>0</v>
      </c>
      <c r="H32" s="235">
        <f>SUM(H6:H31)</f>
        <v>9729</v>
      </c>
    </row>
    <row r="33" spans="1:6" s="230" customFormat="1" ht="25.5" customHeight="1">
      <c r="A33" s="231"/>
      <c r="B33" s="232" t="s">
        <v>165</v>
      </c>
      <c r="C33" s="231"/>
      <c r="D33" s="233"/>
      <c r="E33" s="233"/>
      <c r="F33" s="236"/>
    </row>
    <row r="34" spans="1:4" s="230" customFormat="1" ht="21" customHeight="1">
      <c r="A34" s="237"/>
      <c r="B34" s="238" t="s">
        <v>164</v>
      </c>
      <c r="C34" s="238"/>
      <c r="D34" s="239"/>
    </row>
    <row r="35" spans="1:6" s="230" customFormat="1" ht="18" customHeight="1">
      <c r="A35" s="237"/>
      <c r="B35" s="240" t="s">
        <v>163</v>
      </c>
      <c r="D35" s="239"/>
      <c r="E35" s="241"/>
      <c r="F35" s="242"/>
    </row>
    <row r="36" spans="2:8" s="243" customFormat="1" ht="19.5" customHeight="1" thickBot="1">
      <c r="B36" s="244" t="s">
        <v>162</v>
      </c>
      <c r="C36" s="230"/>
      <c r="D36" s="245"/>
      <c r="E36" s="246"/>
      <c r="F36" s="246"/>
      <c r="G36" s="245"/>
      <c r="H36" s="245"/>
    </row>
    <row r="37" spans="2:8" ht="32.25" customHeight="1" hidden="1" thickBot="1" thickTop="1">
      <c r="B37" s="72"/>
      <c r="C37" s="55"/>
      <c r="D37" s="71"/>
      <c r="E37" s="71"/>
      <c r="F37" s="71"/>
      <c r="G37" s="71"/>
      <c r="H37" s="71"/>
    </row>
    <row r="38" spans="2:8" ht="60.75" customHeight="1" hidden="1" thickTop="1">
      <c r="B38" s="70" t="s">
        <v>161</v>
      </c>
      <c r="C38" s="69"/>
      <c r="D38" s="372" t="s">
        <v>160</v>
      </c>
      <c r="E38" s="372"/>
      <c r="F38" s="372"/>
      <c r="G38" s="68"/>
      <c r="H38" s="60"/>
    </row>
    <row r="39" spans="3:7" ht="39.75" customHeight="1" hidden="1">
      <c r="C39" s="65"/>
      <c r="D39" s="65"/>
      <c r="G39" s="67"/>
    </row>
    <row r="40" spans="2:7" ht="4.5" customHeight="1" hidden="1">
      <c r="B40" s="65"/>
      <c r="C40" s="65"/>
      <c r="D40" s="65"/>
      <c r="G40" s="67"/>
    </row>
    <row r="41" spans="2:6" ht="20.25" customHeight="1" hidden="1" thickBot="1">
      <c r="B41" s="66"/>
      <c r="C41" s="65"/>
      <c r="D41" s="65"/>
      <c r="E41" s="369"/>
      <c r="F41" s="369"/>
    </row>
    <row r="42" spans="2:6" ht="68.25" customHeight="1" hidden="1" thickTop="1">
      <c r="B42" s="370" t="s">
        <v>159</v>
      </c>
      <c r="C42" s="370"/>
      <c r="D42" s="64"/>
      <c r="E42" s="371" t="s">
        <v>158</v>
      </c>
      <c r="F42" s="371"/>
    </row>
    <row r="43" spans="1:5" ht="12.75" customHeight="1" thickTop="1">
      <c r="A43" s="61"/>
      <c r="B43" s="62"/>
      <c r="C43" s="61"/>
      <c r="D43" s="60"/>
      <c r="E43" s="56"/>
    </row>
    <row r="44" spans="1:6" ht="3.75" customHeight="1">
      <c r="A44" s="368"/>
      <c r="B44" s="368"/>
      <c r="C44" s="368"/>
      <c r="D44" s="368"/>
      <c r="E44" s="368"/>
      <c r="F44" s="63"/>
    </row>
    <row r="45" spans="1:5" ht="12.75">
      <c r="A45" s="61"/>
      <c r="B45" s="62"/>
      <c r="C45" s="61"/>
      <c r="D45" s="60"/>
      <c r="E45" s="56"/>
    </row>
    <row r="46" spans="1:5" ht="12.75">
      <c r="A46" s="61"/>
      <c r="B46" s="62"/>
      <c r="C46" s="61"/>
      <c r="D46" s="60"/>
      <c r="E46" s="56"/>
    </row>
    <row r="47" spans="1:5" ht="12.75">
      <c r="A47" s="61"/>
      <c r="B47" s="62"/>
      <c r="C47" s="61"/>
      <c r="D47" s="60"/>
      <c r="E47" s="56"/>
    </row>
    <row r="48" spans="1:5" ht="12.75">
      <c r="A48" s="61"/>
      <c r="B48" s="62"/>
      <c r="C48" s="61"/>
      <c r="D48" s="60"/>
      <c r="E48" s="56"/>
    </row>
    <row r="49" spans="1:5" ht="12.75">
      <c r="A49" s="61"/>
      <c r="B49" s="62"/>
      <c r="C49" s="61"/>
      <c r="D49" s="60"/>
      <c r="E49" s="56"/>
    </row>
    <row r="50" spans="1:5" ht="12.75">
      <c r="A50" s="61"/>
      <c r="B50" s="62"/>
      <c r="C50" s="61"/>
      <c r="D50" s="60"/>
      <c r="E50" s="56"/>
    </row>
  </sheetData>
  <sheetProtection/>
  <mergeCells count="101">
    <mergeCell ref="A18:A19"/>
    <mergeCell ref="C18:C19"/>
    <mergeCell ref="D18:D19"/>
    <mergeCell ref="E18:E19"/>
    <mergeCell ref="F18:F19"/>
    <mergeCell ref="G18:G19"/>
    <mergeCell ref="C14:C15"/>
    <mergeCell ref="D14:D15"/>
    <mergeCell ref="E14:E15"/>
    <mergeCell ref="F14:F15"/>
    <mergeCell ref="G14:G15"/>
    <mergeCell ref="H18:H19"/>
    <mergeCell ref="E42:F42"/>
    <mergeCell ref="D38:F38"/>
    <mergeCell ref="A6:A7"/>
    <mergeCell ref="C6:C7"/>
    <mergeCell ref="E6:E7"/>
    <mergeCell ref="D10:D11"/>
    <mergeCell ref="F16:F17"/>
    <mergeCell ref="A26:A27"/>
    <mergeCell ref="E24:E25"/>
    <mergeCell ref="F24:F25"/>
    <mergeCell ref="A44:E44"/>
    <mergeCell ref="E12:E13"/>
    <mergeCell ref="A16:A17"/>
    <mergeCell ref="A20:A21"/>
    <mergeCell ref="C20:C21"/>
    <mergeCell ref="D20:D21"/>
    <mergeCell ref="E41:F41"/>
    <mergeCell ref="C16:C17"/>
    <mergeCell ref="D16:D17"/>
    <mergeCell ref="B42:C42"/>
    <mergeCell ref="A22:A23"/>
    <mergeCell ref="E26:E27"/>
    <mergeCell ref="F26:F27"/>
    <mergeCell ref="E22:E23"/>
    <mergeCell ref="F22:F23"/>
    <mergeCell ref="A24:A25"/>
    <mergeCell ref="C24:C25"/>
    <mergeCell ref="D24:D25"/>
    <mergeCell ref="C22:C23"/>
    <mergeCell ref="D22:D23"/>
    <mergeCell ref="F10:F11"/>
    <mergeCell ref="F8:F9"/>
    <mergeCell ref="E20:E21"/>
    <mergeCell ref="F20:F21"/>
    <mergeCell ref="E16:E17"/>
    <mergeCell ref="A12:A13"/>
    <mergeCell ref="C12:C13"/>
    <mergeCell ref="D12:D13"/>
    <mergeCell ref="F12:F13"/>
    <mergeCell ref="A14:A15"/>
    <mergeCell ref="A1:F1"/>
    <mergeCell ref="D6:D7"/>
    <mergeCell ref="A10:A11"/>
    <mergeCell ref="C10:C11"/>
    <mergeCell ref="C8:C9"/>
    <mergeCell ref="F6:F7"/>
    <mergeCell ref="A8:A9"/>
    <mergeCell ref="D8:D9"/>
    <mergeCell ref="E8:E9"/>
    <mergeCell ref="E10:E11"/>
    <mergeCell ref="C26:C27"/>
    <mergeCell ref="D26:D27"/>
    <mergeCell ref="F28:F29"/>
    <mergeCell ref="A30:A31"/>
    <mergeCell ref="C30:C31"/>
    <mergeCell ref="D30:D31"/>
    <mergeCell ref="E30:E31"/>
    <mergeCell ref="F30:F31"/>
    <mergeCell ref="A28:A29"/>
    <mergeCell ref="C28:C29"/>
    <mergeCell ref="D28:D29"/>
    <mergeCell ref="E28:E29"/>
    <mergeCell ref="G2:H2"/>
    <mergeCell ref="A4:H4"/>
    <mergeCell ref="B5:H5"/>
    <mergeCell ref="G6:G7"/>
    <mergeCell ref="G8:G9"/>
    <mergeCell ref="H6:H7"/>
    <mergeCell ref="H8:H9"/>
    <mergeCell ref="H16:H17"/>
    <mergeCell ref="H20:H21"/>
    <mergeCell ref="H22:H23"/>
    <mergeCell ref="H24:H25"/>
    <mergeCell ref="G10:G11"/>
    <mergeCell ref="G12:G13"/>
    <mergeCell ref="G16:G17"/>
    <mergeCell ref="G20:G21"/>
    <mergeCell ref="G22:G23"/>
    <mergeCell ref="G24:G25"/>
    <mergeCell ref="H26:H27"/>
    <mergeCell ref="H28:H29"/>
    <mergeCell ref="H30:H31"/>
    <mergeCell ref="D2:F2"/>
    <mergeCell ref="G26:G27"/>
    <mergeCell ref="G28:G29"/>
    <mergeCell ref="G30:G31"/>
    <mergeCell ref="H10:H11"/>
    <mergeCell ref="H12:H13"/>
    <mergeCell ref="H14:H15"/>
  </mergeCells>
  <printOptions horizontalCentered="1"/>
  <pageMargins left="0.6692913385826772" right="0.15748031496062992" top="0.07874015748031496" bottom="0.11811023622047245" header="0" footer="0"/>
  <pageSetup horizontalDpi="300" verticalDpi="300" orientation="portrait" paperSize="9" scale="64" r:id="rId1"/>
  <headerFooter alignWithMargins="0">
    <oddHeader>&amp;C&amp;9BoQ Electrical instalation CAT V -&amp;"Arial,Bold" Paramasa e instalimit elektrik CAT V&amp;"Arial,Regular" - Predmer elektricne instalacije CAT V
Tipi A&amp;R&amp;9&amp;P</oddHeader>
  </headerFooter>
</worksheet>
</file>

<file path=xl/worksheets/sheet3.xml><?xml version="1.0" encoding="utf-8"?>
<worksheet xmlns="http://schemas.openxmlformats.org/spreadsheetml/2006/main" xmlns:r="http://schemas.openxmlformats.org/officeDocument/2006/relationships">
  <dimension ref="A2:I70"/>
  <sheetViews>
    <sheetView view="pageBreakPreview" zoomScale="85" zoomScaleNormal="115" zoomScaleSheetLayoutView="85" zoomScalePageLayoutView="0" workbookViewId="0" topLeftCell="A62">
      <selection activeCell="F7" sqref="F7:F10"/>
    </sheetView>
  </sheetViews>
  <sheetFormatPr defaultColWidth="9.140625" defaultRowHeight="12.75"/>
  <cols>
    <col min="1" max="1" width="9.140625" style="82" customWidth="1"/>
    <col min="2" max="2" width="78.421875" style="83" bestFit="1" customWidth="1"/>
    <col min="3" max="3" width="9.140625" style="82" customWidth="1"/>
    <col min="4" max="4" width="9.140625" style="81" customWidth="1"/>
    <col min="5" max="5" width="10.8515625" style="80" bestFit="1" customWidth="1"/>
    <col min="6" max="6" width="15.7109375" style="79" customWidth="1"/>
    <col min="7" max="7" width="0" style="74" hidden="1" customWidth="1"/>
    <col min="8" max="8" width="17.57421875" style="74" hidden="1" customWidth="1"/>
    <col min="9" max="16384" width="9.140625" style="74" customWidth="1"/>
  </cols>
  <sheetData>
    <row r="1" ht="27" customHeight="1"/>
    <row r="2" spans="1:6" s="11" customFormat="1" ht="39" customHeight="1" thickBot="1">
      <c r="A2" s="405" t="s">
        <v>388</v>
      </c>
      <c r="B2" s="406"/>
      <c r="C2" s="406"/>
      <c r="D2" s="406"/>
      <c r="E2" s="406"/>
      <c r="F2" s="407"/>
    </row>
    <row r="3" spans="1:6" s="11" customFormat="1" ht="39" customHeight="1" thickBot="1">
      <c r="A3" s="405" t="s">
        <v>249</v>
      </c>
      <c r="B3" s="422"/>
      <c r="C3" s="422"/>
      <c r="D3" s="422"/>
      <c r="E3" s="422"/>
      <c r="F3" s="423"/>
    </row>
    <row r="4" spans="1:8" s="55" customFormat="1" ht="43.5" customHeight="1" thickBot="1">
      <c r="A4" s="78" t="s">
        <v>189</v>
      </c>
      <c r="B4" s="77" t="s">
        <v>188</v>
      </c>
      <c r="C4" s="373" t="s">
        <v>187</v>
      </c>
      <c r="D4" s="375" t="s">
        <v>185</v>
      </c>
      <c r="E4" s="375" t="s">
        <v>186</v>
      </c>
      <c r="F4" s="377" t="s">
        <v>251</v>
      </c>
      <c r="G4" s="76" t="s">
        <v>185</v>
      </c>
      <c r="H4" s="75" t="s">
        <v>184</v>
      </c>
    </row>
    <row r="5" spans="1:8" s="11" customFormat="1" ht="21" thickBot="1">
      <c r="A5" s="424" t="s">
        <v>204</v>
      </c>
      <c r="B5" s="425"/>
      <c r="C5" s="374"/>
      <c r="D5" s="376"/>
      <c r="E5" s="376"/>
      <c r="F5" s="378"/>
      <c r="G5" s="109" t="s">
        <v>203</v>
      </c>
      <c r="H5" s="108" t="s">
        <v>202</v>
      </c>
    </row>
    <row r="6" spans="1:8" s="11" customFormat="1" ht="15.75">
      <c r="A6" s="114" t="s">
        <v>248</v>
      </c>
      <c r="B6" s="381" t="s">
        <v>247</v>
      </c>
      <c r="C6" s="382"/>
      <c r="D6" s="382"/>
      <c r="E6" s="382"/>
      <c r="F6" s="382"/>
      <c r="G6" s="382"/>
      <c r="H6" s="383"/>
    </row>
    <row r="7" spans="1:8" ht="95.25" customHeight="1">
      <c r="A7" s="412">
        <v>1</v>
      </c>
      <c r="B7" s="92" t="s">
        <v>389</v>
      </c>
      <c r="C7" s="412" t="s">
        <v>13</v>
      </c>
      <c r="D7" s="396"/>
      <c r="E7" s="379"/>
      <c r="F7" s="393"/>
      <c r="G7" s="396"/>
      <c r="H7" s="393"/>
    </row>
    <row r="8" spans="1:8" ht="98.25" customHeight="1">
      <c r="A8" s="413"/>
      <c r="B8" s="92" t="s">
        <v>246</v>
      </c>
      <c r="C8" s="434"/>
      <c r="D8" s="397"/>
      <c r="E8" s="380"/>
      <c r="F8" s="394"/>
      <c r="G8" s="397"/>
      <c r="H8" s="394"/>
    </row>
    <row r="9" spans="1:8" ht="38.25">
      <c r="A9" s="412">
        <v>2</v>
      </c>
      <c r="B9" s="92" t="s">
        <v>390</v>
      </c>
      <c r="C9" s="434"/>
      <c r="D9" s="397"/>
      <c r="E9" s="379"/>
      <c r="F9" s="394"/>
      <c r="G9" s="397"/>
      <c r="H9" s="394"/>
    </row>
    <row r="10" spans="1:8" ht="63" customHeight="1">
      <c r="A10" s="413"/>
      <c r="B10" s="92" t="s">
        <v>197</v>
      </c>
      <c r="C10" s="434"/>
      <c r="D10" s="398"/>
      <c r="E10" s="380"/>
      <c r="F10" s="395"/>
      <c r="G10" s="398"/>
      <c r="H10" s="395"/>
    </row>
    <row r="11" spans="1:8" ht="22.5" customHeight="1">
      <c r="A11" s="412">
        <v>3</v>
      </c>
      <c r="B11" s="92" t="s">
        <v>252</v>
      </c>
      <c r="C11" s="434"/>
      <c r="D11" s="400">
        <v>42</v>
      </c>
      <c r="E11" s="379"/>
      <c r="F11" s="411"/>
      <c r="G11" s="400"/>
      <c r="H11" s="384">
        <f>G11*E11</f>
        <v>0</v>
      </c>
    </row>
    <row r="12" spans="1:8" ht="22.5" customHeight="1">
      <c r="A12" s="413"/>
      <c r="B12" s="92" t="s">
        <v>253</v>
      </c>
      <c r="C12" s="434"/>
      <c r="D12" s="401"/>
      <c r="E12" s="380"/>
      <c r="F12" s="385"/>
      <c r="G12" s="401"/>
      <c r="H12" s="385"/>
    </row>
    <row r="13" spans="1:8" ht="25.5" customHeight="1">
      <c r="A13" s="412">
        <v>4</v>
      </c>
      <c r="B13" s="92" t="s">
        <v>258</v>
      </c>
      <c r="C13" s="434"/>
      <c r="D13" s="400">
        <v>48</v>
      </c>
      <c r="E13" s="379"/>
      <c r="F13" s="411"/>
      <c r="G13" s="400"/>
      <c r="H13" s="384">
        <f>G13*E13</f>
        <v>0</v>
      </c>
    </row>
    <row r="14" spans="1:8" ht="25.5" customHeight="1">
      <c r="A14" s="413"/>
      <c r="B14" s="92" t="s">
        <v>259</v>
      </c>
      <c r="C14" s="434"/>
      <c r="D14" s="401"/>
      <c r="E14" s="380"/>
      <c r="F14" s="385"/>
      <c r="G14" s="401"/>
      <c r="H14" s="385"/>
    </row>
    <row r="15" spans="1:8" ht="25.5" customHeight="1">
      <c r="A15" s="412">
        <v>5</v>
      </c>
      <c r="B15" s="92" t="s">
        <v>260</v>
      </c>
      <c r="C15" s="434"/>
      <c r="D15" s="400">
        <v>52</v>
      </c>
      <c r="E15" s="379"/>
      <c r="F15" s="411"/>
      <c r="G15" s="400"/>
      <c r="H15" s="384">
        <f>G15*E15</f>
        <v>0</v>
      </c>
    </row>
    <row r="16" spans="1:8" ht="25.5" customHeight="1">
      <c r="A16" s="413"/>
      <c r="B16" s="92" t="s">
        <v>261</v>
      </c>
      <c r="C16" s="434"/>
      <c r="D16" s="401"/>
      <c r="E16" s="380"/>
      <c r="F16" s="385"/>
      <c r="G16" s="401"/>
      <c r="H16" s="385"/>
    </row>
    <row r="17" spans="1:8" ht="25.5" customHeight="1">
      <c r="A17" s="412">
        <v>6</v>
      </c>
      <c r="B17" s="92" t="s">
        <v>254</v>
      </c>
      <c r="C17" s="434"/>
      <c r="D17" s="400">
        <v>96</v>
      </c>
      <c r="E17" s="379"/>
      <c r="F17" s="411"/>
      <c r="G17" s="400"/>
      <c r="H17" s="384">
        <f>G17*E17</f>
        <v>0</v>
      </c>
    </row>
    <row r="18" spans="1:8" ht="25.5" customHeight="1">
      <c r="A18" s="413"/>
      <c r="B18" s="92" t="s">
        <v>255</v>
      </c>
      <c r="C18" s="434"/>
      <c r="D18" s="401"/>
      <c r="E18" s="380"/>
      <c r="F18" s="385"/>
      <c r="G18" s="401"/>
      <c r="H18" s="385"/>
    </row>
    <row r="19" spans="1:8" ht="25.5" customHeight="1">
      <c r="A19" s="412">
        <v>7</v>
      </c>
      <c r="B19" s="92" t="s">
        <v>257</v>
      </c>
      <c r="C19" s="434"/>
      <c r="D19" s="400">
        <v>100</v>
      </c>
      <c r="E19" s="379"/>
      <c r="F19" s="411"/>
      <c r="G19" s="400"/>
      <c r="H19" s="384">
        <f>G19*E19</f>
        <v>0</v>
      </c>
    </row>
    <row r="20" spans="1:8" ht="25.5" customHeight="1">
      <c r="A20" s="413"/>
      <c r="B20" s="92" t="s">
        <v>256</v>
      </c>
      <c r="C20" s="413"/>
      <c r="D20" s="401"/>
      <c r="E20" s="380"/>
      <c r="F20" s="385"/>
      <c r="G20" s="401"/>
      <c r="H20" s="385"/>
    </row>
    <row r="21" spans="1:8" ht="38.25">
      <c r="A21" s="412">
        <v>8</v>
      </c>
      <c r="B21" s="92" t="s">
        <v>245</v>
      </c>
      <c r="C21" s="107" t="s">
        <v>209</v>
      </c>
      <c r="D21" s="400">
        <v>18</v>
      </c>
      <c r="E21" s="379"/>
      <c r="F21" s="411"/>
      <c r="G21" s="400"/>
      <c r="H21" s="384">
        <f>G21*E21</f>
        <v>0</v>
      </c>
    </row>
    <row r="22" spans="1:8" ht="48" customHeight="1">
      <c r="A22" s="413"/>
      <c r="B22" s="92" t="s">
        <v>244</v>
      </c>
      <c r="C22" s="107" t="s">
        <v>63</v>
      </c>
      <c r="D22" s="401"/>
      <c r="E22" s="380"/>
      <c r="F22" s="385"/>
      <c r="G22" s="401"/>
      <c r="H22" s="385"/>
    </row>
    <row r="23" spans="1:8" ht="38.25">
      <c r="A23" s="412">
        <v>9</v>
      </c>
      <c r="B23" s="120" t="s">
        <v>391</v>
      </c>
      <c r="C23" s="107" t="s">
        <v>209</v>
      </c>
      <c r="D23" s="400">
        <v>1</v>
      </c>
      <c r="E23" s="379"/>
      <c r="F23" s="411"/>
      <c r="G23" s="400"/>
      <c r="H23" s="384">
        <f>G23*E23</f>
        <v>0</v>
      </c>
    </row>
    <row r="24" spans="1:8" ht="51">
      <c r="A24" s="413"/>
      <c r="B24" s="92" t="s">
        <v>264</v>
      </c>
      <c r="C24" s="107" t="s">
        <v>63</v>
      </c>
      <c r="D24" s="401"/>
      <c r="E24" s="380"/>
      <c r="F24" s="385"/>
      <c r="G24" s="401"/>
      <c r="H24" s="385"/>
    </row>
    <row r="25" spans="1:8" ht="38.25">
      <c r="A25" s="412">
        <v>10</v>
      </c>
      <c r="B25" s="92" t="s">
        <v>243</v>
      </c>
      <c r="C25" s="107" t="s">
        <v>209</v>
      </c>
      <c r="D25" s="400">
        <v>6</v>
      </c>
      <c r="E25" s="379"/>
      <c r="F25" s="411"/>
      <c r="G25" s="400"/>
      <c r="H25" s="384">
        <f>G25*E25</f>
        <v>0</v>
      </c>
    </row>
    <row r="26" spans="1:8" ht="48" customHeight="1">
      <c r="A26" s="413"/>
      <c r="B26" s="92" t="s">
        <v>242</v>
      </c>
      <c r="C26" s="107" t="s">
        <v>63</v>
      </c>
      <c r="D26" s="401"/>
      <c r="E26" s="380"/>
      <c r="F26" s="385"/>
      <c r="G26" s="401"/>
      <c r="H26" s="385"/>
    </row>
    <row r="27" spans="1:8" s="11" customFormat="1" ht="15.75" customHeight="1">
      <c r="A27" s="420" t="s">
        <v>194</v>
      </c>
      <c r="B27" s="421"/>
      <c r="C27" s="421"/>
      <c r="D27" s="421"/>
      <c r="E27" s="421"/>
      <c r="F27" s="101">
        <f>SUM(F7:F26)</f>
        <v>0</v>
      </c>
      <c r="H27" s="101">
        <f>SUM(H7:H26)</f>
        <v>0</v>
      </c>
    </row>
    <row r="28" spans="1:8" s="11" customFormat="1" ht="15.75" customHeight="1">
      <c r="A28" s="417" t="s">
        <v>241</v>
      </c>
      <c r="B28" s="418"/>
      <c r="C28" s="418"/>
      <c r="D28" s="418"/>
      <c r="E28" s="418"/>
      <c r="F28" s="418"/>
      <c r="G28" s="418"/>
      <c r="H28" s="419"/>
    </row>
    <row r="29" spans="1:8" s="11" customFormat="1" ht="15.75">
      <c r="A29" s="106" t="s">
        <v>240</v>
      </c>
      <c r="B29" s="414" t="s">
        <v>239</v>
      </c>
      <c r="C29" s="415"/>
      <c r="D29" s="415"/>
      <c r="E29" s="415"/>
      <c r="F29" s="415"/>
      <c r="G29" s="415"/>
      <c r="H29" s="416"/>
    </row>
    <row r="30" spans="1:8" s="98" customFormat="1" ht="27">
      <c r="A30" s="399">
        <v>1</v>
      </c>
      <c r="B30" s="105" t="s">
        <v>238</v>
      </c>
      <c r="C30" s="97" t="s">
        <v>228</v>
      </c>
      <c r="D30" s="392">
        <v>9.8</v>
      </c>
      <c r="E30" s="379"/>
      <c r="F30" s="390"/>
      <c r="G30" s="392"/>
      <c r="H30" s="384">
        <f>G30*E30</f>
        <v>0</v>
      </c>
    </row>
    <row r="31" spans="1:8" s="98" customFormat="1" ht="28.5" customHeight="1">
      <c r="A31" s="389"/>
      <c r="B31" s="103" t="s">
        <v>237</v>
      </c>
      <c r="C31" s="102" t="s">
        <v>230</v>
      </c>
      <c r="D31" s="387"/>
      <c r="E31" s="380"/>
      <c r="F31" s="391"/>
      <c r="G31" s="387"/>
      <c r="H31" s="385"/>
    </row>
    <row r="32" spans="1:8" ht="33" customHeight="1">
      <c r="A32" s="399">
        <v>2</v>
      </c>
      <c r="B32" s="104" t="s">
        <v>236</v>
      </c>
      <c r="C32" s="102" t="s">
        <v>228</v>
      </c>
      <c r="D32" s="386">
        <v>0.3</v>
      </c>
      <c r="E32" s="379"/>
      <c r="F32" s="390"/>
      <c r="G32" s="386"/>
      <c r="H32" s="384">
        <f>G32*E32</f>
        <v>0</v>
      </c>
    </row>
    <row r="33" spans="1:8" ht="35.25" customHeight="1">
      <c r="A33" s="389"/>
      <c r="B33" s="104" t="s">
        <v>235</v>
      </c>
      <c r="C33" s="102" t="s">
        <v>230</v>
      </c>
      <c r="D33" s="387"/>
      <c r="E33" s="380"/>
      <c r="F33" s="391"/>
      <c r="G33" s="387"/>
      <c r="H33" s="385"/>
    </row>
    <row r="34" spans="1:8" ht="39.75" customHeight="1">
      <c r="A34" s="399">
        <v>3</v>
      </c>
      <c r="B34" s="103" t="s">
        <v>234</v>
      </c>
      <c r="C34" s="102" t="s">
        <v>228</v>
      </c>
      <c r="D34" s="386">
        <v>0.9</v>
      </c>
      <c r="E34" s="379"/>
      <c r="F34" s="390"/>
      <c r="G34" s="386"/>
      <c r="H34" s="384">
        <f>G34*E34</f>
        <v>0</v>
      </c>
    </row>
    <row r="35" spans="1:8" ht="39.75" customHeight="1">
      <c r="A35" s="389"/>
      <c r="B35" s="103" t="s">
        <v>233</v>
      </c>
      <c r="C35" s="102" t="s">
        <v>230</v>
      </c>
      <c r="D35" s="387"/>
      <c r="E35" s="380"/>
      <c r="F35" s="391"/>
      <c r="G35" s="387"/>
      <c r="H35" s="385"/>
    </row>
    <row r="36" spans="1:8" ht="38.25">
      <c r="A36" s="399">
        <v>4</v>
      </c>
      <c r="B36" s="92" t="s">
        <v>232</v>
      </c>
      <c r="C36" s="102" t="s">
        <v>228</v>
      </c>
      <c r="D36" s="386">
        <v>3.5</v>
      </c>
      <c r="E36" s="379"/>
      <c r="F36" s="390"/>
      <c r="G36" s="386"/>
      <c r="H36" s="384">
        <f>G36*E36</f>
        <v>0</v>
      </c>
    </row>
    <row r="37" spans="1:8" ht="47.25" customHeight="1">
      <c r="A37" s="389"/>
      <c r="B37" s="103" t="s">
        <v>231</v>
      </c>
      <c r="C37" s="102" t="s">
        <v>230</v>
      </c>
      <c r="D37" s="387"/>
      <c r="E37" s="380"/>
      <c r="F37" s="391"/>
      <c r="G37" s="387"/>
      <c r="H37" s="385"/>
    </row>
    <row r="38" spans="1:8" ht="25.5">
      <c r="A38" s="399">
        <v>5</v>
      </c>
      <c r="B38" s="103" t="s">
        <v>229</v>
      </c>
      <c r="C38" s="102" t="s">
        <v>228</v>
      </c>
      <c r="D38" s="386">
        <v>2.63</v>
      </c>
      <c r="E38" s="379"/>
      <c r="F38" s="390"/>
      <c r="G38" s="386"/>
      <c r="H38" s="384">
        <f>G38*E38</f>
        <v>0</v>
      </c>
    </row>
    <row r="39" spans="1:8" ht="28.5" customHeight="1">
      <c r="A39" s="389"/>
      <c r="B39" s="103" t="s">
        <v>227</v>
      </c>
      <c r="C39" s="102" t="s">
        <v>226</v>
      </c>
      <c r="D39" s="387"/>
      <c r="E39" s="380"/>
      <c r="F39" s="391"/>
      <c r="G39" s="387"/>
      <c r="H39" s="385"/>
    </row>
    <row r="40" spans="1:8" s="11" customFormat="1" ht="24" customHeight="1">
      <c r="A40" s="432" t="s">
        <v>225</v>
      </c>
      <c r="B40" s="433"/>
      <c r="C40" s="433"/>
      <c r="D40" s="433"/>
      <c r="E40" s="433"/>
      <c r="F40" s="101">
        <f>SUM(F30:F39)</f>
        <v>0</v>
      </c>
      <c r="H40" s="101">
        <f>SUM(H30:H39)</f>
        <v>0</v>
      </c>
    </row>
    <row r="41" spans="1:8" s="11" customFormat="1" ht="15.75">
      <c r="A41" s="100" t="s">
        <v>224</v>
      </c>
      <c r="B41" s="408" t="s">
        <v>223</v>
      </c>
      <c r="C41" s="409"/>
      <c r="D41" s="409"/>
      <c r="E41" s="409"/>
      <c r="F41" s="409"/>
      <c r="G41" s="409"/>
      <c r="H41" s="410"/>
    </row>
    <row r="42" spans="1:8" s="98" customFormat="1" ht="63.75">
      <c r="A42" s="399">
        <v>1</v>
      </c>
      <c r="B42" s="99" t="s">
        <v>222</v>
      </c>
      <c r="C42" s="388" t="s">
        <v>13</v>
      </c>
      <c r="D42" s="402"/>
      <c r="E42" s="379"/>
      <c r="F42" s="390"/>
      <c r="G42" s="402"/>
      <c r="H42" s="390"/>
    </row>
    <row r="43" spans="1:8" s="98" customFormat="1" ht="84.75" customHeight="1">
      <c r="A43" s="389"/>
      <c r="B43" s="92" t="s">
        <v>221</v>
      </c>
      <c r="C43" s="388"/>
      <c r="D43" s="403"/>
      <c r="E43" s="380"/>
      <c r="F43" s="391"/>
      <c r="G43" s="403"/>
      <c r="H43" s="391"/>
    </row>
    <row r="44" spans="1:8" ht="30" customHeight="1">
      <c r="A44" s="399">
        <v>2</v>
      </c>
      <c r="B44" s="92" t="s">
        <v>220</v>
      </c>
      <c r="C44" s="388"/>
      <c r="D44" s="386">
        <f>3+42+8+3+5+6+3+8+2+2+40</f>
        <v>122</v>
      </c>
      <c r="E44" s="379"/>
      <c r="F44" s="404"/>
      <c r="G44" s="386">
        <v>40</v>
      </c>
      <c r="H44" s="384">
        <f>G44*E44</f>
        <v>0</v>
      </c>
    </row>
    <row r="45" spans="1:8" ht="30" customHeight="1">
      <c r="A45" s="389"/>
      <c r="B45" s="92" t="s">
        <v>219</v>
      </c>
      <c r="C45" s="388"/>
      <c r="D45" s="387"/>
      <c r="E45" s="380"/>
      <c r="F45" s="391"/>
      <c r="G45" s="387"/>
      <c r="H45" s="385"/>
    </row>
    <row r="46" spans="1:8" ht="24" customHeight="1">
      <c r="A46" s="399">
        <v>3</v>
      </c>
      <c r="B46" s="92" t="s">
        <v>218</v>
      </c>
      <c r="C46" s="388"/>
      <c r="D46" s="386">
        <v>72</v>
      </c>
      <c r="E46" s="379"/>
      <c r="F46" s="404"/>
      <c r="G46" s="386"/>
      <c r="H46" s="384">
        <f>G46*E46</f>
        <v>0</v>
      </c>
    </row>
    <row r="47" spans="1:8" ht="24" customHeight="1">
      <c r="A47" s="389"/>
      <c r="B47" s="92" t="s">
        <v>217</v>
      </c>
      <c r="C47" s="389"/>
      <c r="D47" s="387"/>
      <c r="E47" s="380"/>
      <c r="F47" s="391"/>
      <c r="G47" s="387"/>
      <c r="H47" s="385"/>
    </row>
    <row r="48" spans="1:8" ht="30" customHeight="1">
      <c r="A48" s="399">
        <v>4</v>
      </c>
      <c r="B48" s="92" t="s">
        <v>216</v>
      </c>
      <c r="C48" s="96" t="s">
        <v>209</v>
      </c>
      <c r="D48" s="386">
        <v>1</v>
      </c>
      <c r="E48" s="379"/>
      <c r="F48" s="404"/>
      <c r="G48" s="386"/>
      <c r="H48" s="384">
        <f>G48*E48</f>
        <v>0</v>
      </c>
    </row>
    <row r="49" spans="1:8" ht="31.5" customHeight="1">
      <c r="A49" s="389"/>
      <c r="B49" s="92" t="s">
        <v>215</v>
      </c>
      <c r="C49" s="96" t="s">
        <v>63</v>
      </c>
      <c r="D49" s="387"/>
      <c r="E49" s="380"/>
      <c r="F49" s="391"/>
      <c r="G49" s="387"/>
      <c r="H49" s="385"/>
    </row>
    <row r="50" spans="1:8" ht="38.25">
      <c r="A50" s="399">
        <v>5</v>
      </c>
      <c r="B50" s="92" t="s">
        <v>214</v>
      </c>
      <c r="C50" s="96" t="s">
        <v>209</v>
      </c>
      <c r="D50" s="386">
        <v>2</v>
      </c>
      <c r="E50" s="379"/>
      <c r="F50" s="404"/>
      <c r="G50" s="386"/>
      <c r="H50" s="384">
        <f>G50*E50</f>
        <v>0</v>
      </c>
    </row>
    <row r="51" spans="1:8" ht="39" customHeight="1">
      <c r="A51" s="389"/>
      <c r="B51" s="92" t="s">
        <v>268</v>
      </c>
      <c r="C51" s="96" t="s">
        <v>63</v>
      </c>
      <c r="D51" s="387"/>
      <c r="E51" s="380"/>
      <c r="F51" s="391"/>
      <c r="G51" s="387"/>
      <c r="H51" s="385"/>
    </row>
    <row r="52" spans="1:8" ht="38.25">
      <c r="A52" s="399">
        <v>6</v>
      </c>
      <c r="B52" s="92" t="s">
        <v>213</v>
      </c>
      <c r="C52" s="96" t="s">
        <v>209</v>
      </c>
      <c r="D52" s="386">
        <v>15</v>
      </c>
      <c r="E52" s="379"/>
      <c r="F52" s="404"/>
      <c r="G52" s="386"/>
      <c r="H52" s="384">
        <f>G52*E52</f>
        <v>0</v>
      </c>
    </row>
    <row r="53" spans="1:8" ht="39" customHeight="1">
      <c r="A53" s="389"/>
      <c r="B53" s="92" t="s">
        <v>267</v>
      </c>
      <c r="C53" s="96" t="s">
        <v>63</v>
      </c>
      <c r="D53" s="387"/>
      <c r="E53" s="380"/>
      <c r="F53" s="391"/>
      <c r="G53" s="387"/>
      <c r="H53" s="385"/>
    </row>
    <row r="54" spans="1:8" ht="38.25">
      <c r="A54" s="399">
        <v>7</v>
      </c>
      <c r="B54" s="120" t="s">
        <v>269</v>
      </c>
      <c r="C54" s="96" t="s">
        <v>209</v>
      </c>
      <c r="D54" s="386">
        <v>1</v>
      </c>
      <c r="E54" s="379"/>
      <c r="F54" s="404"/>
      <c r="G54" s="386"/>
      <c r="H54" s="384">
        <f>G54*E54</f>
        <v>0</v>
      </c>
    </row>
    <row r="55" spans="1:8" ht="39" customHeight="1">
      <c r="A55" s="389"/>
      <c r="B55" s="92" t="s">
        <v>263</v>
      </c>
      <c r="C55" s="96" t="s">
        <v>63</v>
      </c>
      <c r="D55" s="387"/>
      <c r="E55" s="380"/>
      <c r="F55" s="391"/>
      <c r="G55" s="387"/>
      <c r="H55" s="385"/>
    </row>
    <row r="56" spans="1:8" ht="84.75" customHeight="1">
      <c r="A56" s="399">
        <v>8</v>
      </c>
      <c r="B56" s="92" t="s">
        <v>212</v>
      </c>
      <c r="C56" s="96" t="s">
        <v>209</v>
      </c>
      <c r="D56" s="386">
        <v>19</v>
      </c>
      <c r="E56" s="379"/>
      <c r="F56" s="404"/>
      <c r="G56" s="386"/>
      <c r="H56" s="384">
        <f>G56*E56</f>
        <v>0</v>
      </c>
    </row>
    <row r="57" spans="1:8" ht="102">
      <c r="A57" s="389"/>
      <c r="B57" s="92" t="s">
        <v>211</v>
      </c>
      <c r="C57" s="96" t="s">
        <v>63</v>
      </c>
      <c r="D57" s="387"/>
      <c r="E57" s="380"/>
      <c r="F57" s="391"/>
      <c r="G57" s="387"/>
      <c r="H57" s="385"/>
    </row>
    <row r="58" spans="1:8" ht="84.75" customHeight="1">
      <c r="A58" s="399">
        <v>9</v>
      </c>
      <c r="B58" s="92" t="s">
        <v>265</v>
      </c>
      <c r="C58" s="96" t="s">
        <v>209</v>
      </c>
      <c r="D58" s="386">
        <v>6</v>
      </c>
      <c r="E58" s="379"/>
      <c r="F58" s="404"/>
      <c r="G58" s="386"/>
      <c r="H58" s="384">
        <f>G58*E58</f>
        <v>0</v>
      </c>
    </row>
    <row r="59" spans="1:8" ht="102">
      <c r="A59" s="389"/>
      <c r="B59" s="92" t="s">
        <v>266</v>
      </c>
      <c r="C59" s="96" t="s">
        <v>63</v>
      </c>
      <c r="D59" s="387"/>
      <c r="E59" s="380"/>
      <c r="F59" s="391"/>
      <c r="G59" s="387"/>
      <c r="H59" s="385"/>
    </row>
    <row r="60" spans="1:8" ht="102">
      <c r="A60" s="399">
        <v>10</v>
      </c>
      <c r="B60" s="92" t="s">
        <v>210</v>
      </c>
      <c r="C60" s="96" t="s">
        <v>209</v>
      </c>
      <c r="D60" s="386">
        <v>8</v>
      </c>
      <c r="E60" s="379"/>
      <c r="F60" s="404"/>
      <c r="G60" s="386"/>
      <c r="H60" s="384">
        <f>G60*E60</f>
        <v>0</v>
      </c>
    </row>
    <row r="61" spans="1:8" ht="129" customHeight="1" thickBot="1">
      <c r="A61" s="389"/>
      <c r="B61" s="92" t="s">
        <v>262</v>
      </c>
      <c r="C61" s="96" t="s">
        <v>63</v>
      </c>
      <c r="D61" s="387"/>
      <c r="E61" s="380"/>
      <c r="F61" s="391"/>
      <c r="G61" s="387"/>
      <c r="H61" s="385"/>
    </row>
    <row r="62" spans="1:8" s="11" customFormat="1" ht="16.5" customHeight="1" thickBot="1">
      <c r="A62" s="430" t="s">
        <v>208</v>
      </c>
      <c r="B62" s="431"/>
      <c r="C62" s="431"/>
      <c r="D62" s="431"/>
      <c r="E62" s="431"/>
      <c r="F62" s="90">
        <f>SUM(F42:F61)</f>
        <v>0</v>
      </c>
      <c r="H62" s="90">
        <f>SUM(H42:H61)</f>
        <v>0</v>
      </c>
    </row>
    <row r="63" spans="1:8" s="11" customFormat="1" ht="16.5" customHeight="1" thickBot="1">
      <c r="A63" s="426" t="s">
        <v>207</v>
      </c>
      <c r="B63" s="427"/>
      <c r="C63" s="427"/>
      <c r="D63" s="427"/>
      <c r="E63" s="428"/>
      <c r="F63" s="95">
        <f>F62+F40+F27</f>
        <v>0</v>
      </c>
      <c r="H63" s="95" t="e">
        <f>H62+H40+H27+#REF!</f>
        <v>#REF!</v>
      </c>
    </row>
    <row r="64" spans="2:6" ht="15">
      <c r="B64" s="88" t="s">
        <v>193</v>
      </c>
      <c r="E64" s="87"/>
      <c r="F64" s="89"/>
    </row>
    <row r="65" spans="1:6" ht="15">
      <c r="A65" s="88"/>
      <c r="B65" s="88" t="s">
        <v>192</v>
      </c>
      <c r="E65" s="87"/>
      <c r="F65" s="86"/>
    </row>
    <row r="66" spans="1:9" ht="68.25" customHeight="1" hidden="1" thickBot="1">
      <c r="A66" s="85"/>
      <c r="B66" s="59"/>
      <c r="C66" s="65"/>
      <c r="D66" s="71"/>
      <c r="E66" s="73"/>
      <c r="F66" s="73"/>
      <c r="G66" s="71"/>
      <c r="H66" s="71"/>
      <c r="I66" s="71"/>
    </row>
    <row r="67" spans="1:9" ht="68.25" customHeight="1" hidden="1" thickTop="1">
      <c r="A67" s="85"/>
      <c r="B67" s="70" t="s">
        <v>161</v>
      </c>
      <c r="C67" s="69"/>
      <c r="D67" s="372" t="s">
        <v>160</v>
      </c>
      <c r="E67" s="372"/>
      <c r="F67" s="372"/>
      <c r="G67" s="68"/>
      <c r="H67" s="68"/>
      <c r="I67" s="60"/>
    </row>
    <row r="68" spans="2:7" ht="68.25" customHeight="1">
      <c r="B68" s="65"/>
      <c r="C68" s="65"/>
      <c r="D68" s="65"/>
      <c r="E68" s="57"/>
      <c r="F68" s="56"/>
      <c r="G68" s="60"/>
    </row>
    <row r="69" spans="2:7" ht="68.25" customHeight="1">
      <c r="B69" s="65"/>
      <c r="C69" s="65"/>
      <c r="D69" s="65"/>
      <c r="E69" s="57"/>
      <c r="F69" s="56"/>
      <c r="G69" s="60"/>
    </row>
    <row r="70" spans="2:7" ht="68.25" customHeight="1" thickBot="1">
      <c r="B70" s="66"/>
      <c r="C70" s="65"/>
      <c r="D70" s="65"/>
      <c r="E70" s="84"/>
      <c r="F70" s="84"/>
      <c r="G70" s="64"/>
    </row>
    <row r="71" ht="13.5" thickTop="1"/>
  </sheetData>
  <sheetProtection/>
  <autoFilter ref="A1:F63"/>
  <mergeCells count="164">
    <mergeCell ref="G11:G12"/>
    <mergeCell ref="H11:H12"/>
    <mergeCell ref="A17:A18"/>
    <mergeCell ref="D17:D18"/>
    <mergeCell ref="E17:E18"/>
    <mergeCell ref="F17:F18"/>
    <mergeCell ref="G17:G18"/>
    <mergeCell ref="H17:H18"/>
    <mergeCell ref="A13:A14"/>
    <mergeCell ref="D13:D14"/>
    <mergeCell ref="A42:A43"/>
    <mergeCell ref="A40:E40"/>
    <mergeCell ref="E19:E20"/>
    <mergeCell ref="C7:C20"/>
    <mergeCell ref="A11:A12"/>
    <mergeCell ref="D11:D12"/>
    <mergeCell ref="E11:E12"/>
    <mergeCell ref="E13:E14"/>
    <mergeCell ref="A15:A16"/>
    <mergeCell ref="A23:A24"/>
    <mergeCell ref="A54:A55"/>
    <mergeCell ref="D54:D55"/>
    <mergeCell ref="A48:A49"/>
    <mergeCell ref="A50:A51"/>
    <mergeCell ref="D60:D61"/>
    <mergeCell ref="A56:A57"/>
    <mergeCell ref="A60:A61"/>
    <mergeCell ref="A62:E62"/>
    <mergeCell ref="D21:D22"/>
    <mergeCell ref="D67:F67"/>
    <mergeCell ref="A63:E63"/>
    <mergeCell ref="F13:F14"/>
    <mergeCell ref="G13:G14"/>
    <mergeCell ref="D15:D16"/>
    <mergeCell ref="E15:E16"/>
    <mergeCell ref="F15:F16"/>
    <mergeCell ref="G15:G16"/>
    <mergeCell ref="A52:A53"/>
    <mergeCell ref="F56:F57"/>
    <mergeCell ref="E54:E55"/>
    <mergeCell ref="F36:F37"/>
    <mergeCell ref="A19:A20"/>
    <mergeCell ref="A21:A22"/>
    <mergeCell ref="A3:F3"/>
    <mergeCell ref="A5:B5"/>
    <mergeCell ref="D52:D53"/>
    <mergeCell ref="E52:E53"/>
    <mergeCell ref="F52:F53"/>
    <mergeCell ref="F21:F22"/>
    <mergeCell ref="E21:E22"/>
    <mergeCell ref="A38:A39"/>
    <mergeCell ref="A27:E27"/>
    <mergeCell ref="D19:D20"/>
    <mergeCell ref="A7:A8"/>
    <mergeCell ref="A9:A10"/>
    <mergeCell ref="F11:F12"/>
    <mergeCell ref="D23:D24"/>
    <mergeCell ref="E23:E24"/>
    <mergeCell ref="A34:A35"/>
    <mergeCell ref="A36:A37"/>
    <mergeCell ref="B29:H29"/>
    <mergeCell ref="D25:D26"/>
    <mergeCell ref="E25:E26"/>
    <mergeCell ref="A28:H28"/>
    <mergeCell ref="F25:F26"/>
    <mergeCell ref="D30:D31"/>
    <mergeCell ref="F30:F31"/>
    <mergeCell ref="G23:G24"/>
    <mergeCell ref="D38:D39"/>
    <mergeCell ref="F32:F33"/>
    <mergeCell ref="A44:A45"/>
    <mergeCell ref="A46:A47"/>
    <mergeCell ref="D36:D37"/>
    <mergeCell ref="E36:E37"/>
    <mergeCell ref="A25:A26"/>
    <mergeCell ref="A30:A31"/>
    <mergeCell ref="A32:A33"/>
    <mergeCell ref="F46:F47"/>
    <mergeCell ref="B41:H41"/>
    <mergeCell ref="G42:G43"/>
    <mergeCell ref="G44:G45"/>
    <mergeCell ref="D32:D33"/>
    <mergeCell ref="F7:F10"/>
    <mergeCell ref="D7:D10"/>
    <mergeCell ref="E30:E31"/>
    <mergeCell ref="F19:F20"/>
    <mergeCell ref="F23:F24"/>
    <mergeCell ref="A2:F2"/>
    <mergeCell ref="E48:E49"/>
    <mergeCell ref="F48:F49"/>
    <mergeCell ref="D50:D51"/>
    <mergeCell ref="E50:E51"/>
    <mergeCell ref="F42:F43"/>
    <mergeCell ref="E32:E33"/>
    <mergeCell ref="E46:E47"/>
    <mergeCell ref="E38:E39"/>
    <mergeCell ref="F38:F39"/>
    <mergeCell ref="E60:E61"/>
    <mergeCell ref="F60:F61"/>
    <mergeCell ref="D44:D45"/>
    <mergeCell ref="E44:E45"/>
    <mergeCell ref="F44:F45"/>
    <mergeCell ref="D58:D59"/>
    <mergeCell ref="E58:E59"/>
    <mergeCell ref="F58:F59"/>
    <mergeCell ref="F50:F51"/>
    <mergeCell ref="F54:F55"/>
    <mergeCell ref="A58:A59"/>
    <mergeCell ref="G58:G59"/>
    <mergeCell ref="H58:H59"/>
    <mergeCell ref="G19:G20"/>
    <mergeCell ref="G21:G22"/>
    <mergeCell ref="G25:G26"/>
    <mergeCell ref="D56:D57"/>
    <mergeCell ref="E56:E57"/>
    <mergeCell ref="D34:D35"/>
    <mergeCell ref="D42:D43"/>
    <mergeCell ref="H15:H16"/>
    <mergeCell ref="E34:E35"/>
    <mergeCell ref="F34:F35"/>
    <mergeCell ref="H7:H10"/>
    <mergeCell ref="H19:H20"/>
    <mergeCell ref="H21:H22"/>
    <mergeCell ref="H25:H26"/>
    <mergeCell ref="G7:G10"/>
    <mergeCell ref="H13:H14"/>
    <mergeCell ref="H23:H24"/>
    <mergeCell ref="G38:G39"/>
    <mergeCell ref="H30:H31"/>
    <mergeCell ref="H32:H33"/>
    <mergeCell ref="H34:H35"/>
    <mergeCell ref="H36:H37"/>
    <mergeCell ref="H38:H39"/>
    <mergeCell ref="G32:G33"/>
    <mergeCell ref="G34:G35"/>
    <mergeCell ref="G36:G37"/>
    <mergeCell ref="G30:G31"/>
    <mergeCell ref="G46:G47"/>
    <mergeCell ref="G48:G49"/>
    <mergeCell ref="C42:C47"/>
    <mergeCell ref="D48:D49"/>
    <mergeCell ref="H42:H43"/>
    <mergeCell ref="H44:H45"/>
    <mergeCell ref="H46:H47"/>
    <mergeCell ref="H48:H49"/>
    <mergeCell ref="E42:E43"/>
    <mergeCell ref="D46:D47"/>
    <mergeCell ref="H50:H51"/>
    <mergeCell ref="H54:H55"/>
    <mergeCell ref="H56:H57"/>
    <mergeCell ref="H60:H61"/>
    <mergeCell ref="G50:G51"/>
    <mergeCell ref="G54:G55"/>
    <mergeCell ref="G56:G57"/>
    <mergeCell ref="G60:G61"/>
    <mergeCell ref="H52:H53"/>
    <mergeCell ref="G52:G53"/>
    <mergeCell ref="C4:C5"/>
    <mergeCell ref="D4:D5"/>
    <mergeCell ref="E4:E5"/>
    <mergeCell ref="F4:F5"/>
    <mergeCell ref="E7:E8"/>
    <mergeCell ref="E9:E10"/>
    <mergeCell ref="B6:H6"/>
  </mergeCells>
  <printOptions horizontalCentered="1"/>
  <pageMargins left="0.2755905511811024" right="0.1968503937007874" top="0.7086614173228347" bottom="0.7086614173228347" header="0.31496062992125984" footer="0.31496062992125984"/>
  <pageSetup horizontalDpi="600" verticalDpi="600" orientation="portrait" paperSize="9" scale="64" r:id="rId2"/>
  <rowBreaks count="1" manualBreakCount="1">
    <brk id="27" max="7" man="1"/>
  </rowBreaks>
  <drawing r:id="rId1"/>
</worksheet>
</file>

<file path=xl/worksheets/sheet4.xml><?xml version="1.0" encoding="utf-8"?>
<worksheet xmlns="http://schemas.openxmlformats.org/spreadsheetml/2006/main" xmlns:r="http://schemas.openxmlformats.org/officeDocument/2006/relationships">
  <dimension ref="A2:I35"/>
  <sheetViews>
    <sheetView zoomScalePageLayoutView="0" workbookViewId="0" topLeftCell="A25">
      <selection activeCell="I29" sqref="I29"/>
    </sheetView>
  </sheetViews>
  <sheetFormatPr defaultColWidth="9.140625" defaultRowHeight="12.75"/>
  <cols>
    <col min="1" max="1" width="9.140625" style="82" customWidth="1"/>
    <col min="2" max="2" width="78.421875" style="83" bestFit="1" customWidth="1"/>
    <col min="3" max="3" width="9.140625" style="82" customWidth="1"/>
    <col min="4" max="4" width="9.140625" style="81" customWidth="1"/>
    <col min="5" max="5" width="9.140625" style="80" customWidth="1"/>
    <col min="6" max="6" width="15.7109375" style="79" customWidth="1"/>
    <col min="7" max="7" width="0" style="74" hidden="1" customWidth="1"/>
    <col min="8" max="8" width="17.57421875" style="74" hidden="1" customWidth="1"/>
    <col min="9" max="16384" width="9.140625" style="74" customWidth="1"/>
  </cols>
  <sheetData>
    <row r="1" ht="27" customHeight="1" thickBot="1"/>
    <row r="2" spans="1:8" s="11" customFormat="1" ht="39" customHeight="1" thickBot="1">
      <c r="A2" s="447" t="s">
        <v>206</v>
      </c>
      <c r="B2" s="448"/>
      <c r="C2" s="448"/>
      <c r="D2" s="448"/>
      <c r="E2" s="448"/>
      <c r="F2" s="448"/>
      <c r="G2" s="448"/>
      <c r="H2" s="449"/>
    </row>
    <row r="3" spans="1:8" s="11" customFormat="1" ht="39" customHeight="1" thickBot="1">
      <c r="A3" s="450" t="s">
        <v>205</v>
      </c>
      <c r="B3" s="451"/>
      <c r="C3" s="451"/>
      <c r="D3" s="451"/>
      <c r="E3" s="451"/>
      <c r="F3" s="451"/>
      <c r="G3" s="451"/>
      <c r="H3" s="452"/>
    </row>
    <row r="4" spans="1:8" s="55" customFormat="1" ht="43.5" customHeight="1" thickBot="1">
      <c r="A4" s="78" t="s">
        <v>189</v>
      </c>
      <c r="B4" s="77" t="s">
        <v>188</v>
      </c>
      <c r="C4" s="373" t="s">
        <v>187</v>
      </c>
      <c r="D4" s="375" t="s">
        <v>185</v>
      </c>
      <c r="E4" s="375" t="s">
        <v>186</v>
      </c>
      <c r="F4" s="377" t="s">
        <v>251</v>
      </c>
      <c r="G4" s="76" t="s">
        <v>185</v>
      </c>
      <c r="H4" s="75" t="s">
        <v>184</v>
      </c>
    </row>
    <row r="5" spans="1:8" s="11" customFormat="1" ht="21" thickBot="1">
      <c r="A5" s="437" t="s">
        <v>204</v>
      </c>
      <c r="B5" s="425"/>
      <c r="C5" s="374"/>
      <c r="D5" s="376"/>
      <c r="E5" s="376"/>
      <c r="F5" s="378"/>
      <c r="G5" s="109" t="s">
        <v>203</v>
      </c>
      <c r="H5" s="108" t="s">
        <v>202</v>
      </c>
    </row>
    <row r="6" spans="1:8" s="11" customFormat="1" ht="15.75">
      <c r="A6" s="110" t="s">
        <v>248</v>
      </c>
      <c r="B6" s="381" t="s">
        <v>201</v>
      </c>
      <c r="C6" s="382"/>
      <c r="D6" s="382"/>
      <c r="E6" s="382"/>
      <c r="F6" s="382"/>
      <c r="G6" s="382"/>
      <c r="H6" s="453"/>
    </row>
    <row r="7" spans="1:8" ht="95.25" customHeight="1">
      <c r="A7" s="438">
        <v>1</v>
      </c>
      <c r="B7" s="94" t="s">
        <v>200</v>
      </c>
      <c r="C7" s="412" t="s">
        <v>13</v>
      </c>
      <c r="D7" s="396"/>
      <c r="E7" s="396"/>
      <c r="F7" s="393"/>
      <c r="G7" s="396"/>
      <c r="H7" s="444"/>
    </row>
    <row r="8" spans="1:8" ht="98.25" customHeight="1">
      <c r="A8" s="439"/>
      <c r="B8" s="92" t="s">
        <v>199</v>
      </c>
      <c r="C8" s="434"/>
      <c r="D8" s="397"/>
      <c r="E8" s="397"/>
      <c r="F8" s="394"/>
      <c r="G8" s="397"/>
      <c r="H8" s="445"/>
    </row>
    <row r="9" spans="1:8" ht="38.25">
      <c r="A9" s="438">
        <v>2</v>
      </c>
      <c r="B9" s="92" t="s">
        <v>198</v>
      </c>
      <c r="C9" s="434"/>
      <c r="D9" s="397"/>
      <c r="E9" s="397"/>
      <c r="F9" s="394"/>
      <c r="G9" s="397"/>
      <c r="H9" s="445"/>
    </row>
    <row r="10" spans="1:8" ht="63" customHeight="1">
      <c r="A10" s="439"/>
      <c r="B10" s="92" t="s">
        <v>197</v>
      </c>
      <c r="C10" s="434"/>
      <c r="D10" s="398"/>
      <c r="E10" s="398"/>
      <c r="F10" s="395"/>
      <c r="G10" s="398"/>
      <c r="H10" s="446"/>
    </row>
    <row r="11" spans="1:8" ht="22.5" customHeight="1">
      <c r="A11" s="438">
        <v>3</v>
      </c>
      <c r="B11" s="92" t="s">
        <v>272</v>
      </c>
      <c r="C11" s="434"/>
      <c r="D11" s="400">
        <v>240</v>
      </c>
      <c r="E11" s="440"/>
      <c r="F11" s="411"/>
      <c r="G11" s="400"/>
      <c r="H11" s="442">
        <f>G11*E11</f>
        <v>0</v>
      </c>
    </row>
    <row r="12" spans="1:8" ht="22.5" customHeight="1">
      <c r="A12" s="439"/>
      <c r="B12" s="92" t="s">
        <v>273</v>
      </c>
      <c r="C12" s="434"/>
      <c r="D12" s="401"/>
      <c r="E12" s="441"/>
      <c r="F12" s="385"/>
      <c r="G12" s="401"/>
      <c r="H12" s="443"/>
    </row>
    <row r="13" spans="1:8" ht="22.5" customHeight="1">
      <c r="A13" s="438">
        <v>4</v>
      </c>
      <c r="B13" s="92" t="s">
        <v>274</v>
      </c>
      <c r="C13" s="434"/>
      <c r="D13" s="400">
        <v>200</v>
      </c>
      <c r="E13" s="440"/>
      <c r="F13" s="411"/>
      <c r="G13" s="400"/>
      <c r="H13" s="442">
        <f>G13*E13</f>
        <v>0</v>
      </c>
    </row>
    <row r="14" spans="1:8" ht="22.5" customHeight="1">
      <c r="A14" s="439"/>
      <c r="B14" s="92" t="s">
        <v>275</v>
      </c>
      <c r="C14" s="434"/>
      <c r="D14" s="401"/>
      <c r="E14" s="441"/>
      <c r="F14" s="385"/>
      <c r="G14" s="401"/>
      <c r="H14" s="443"/>
    </row>
    <row r="15" spans="1:8" ht="22.5" customHeight="1">
      <c r="A15" s="438">
        <v>5</v>
      </c>
      <c r="B15" s="92" t="s">
        <v>276</v>
      </c>
      <c r="C15" s="434"/>
      <c r="D15" s="400">
        <v>120</v>
      </c>
      <c r="E15" s="440"/>
      <c r="F15" s="411"/>
      <c r="G15" s="400"/>
      <c r="H15" s="442">
        <f>G15*E15</f>
        <v>0</v>
      </c>
    </row>
    <row r="16" spans="1:8" ht="22.5" customHeight="1">
      <c r="A16" s="439"/>
      <c r="B16" s="92" t="s">
        <v>277</v>
      </c>
      <c r="C16" s="434"/>
      <c r="D16" s="401"/>
      <c r="E16" s="441"/>
      <c r="F16" s="385"/>
      <c r="G16" s="401"/>
      <c r="H16" s="443"/>
    </row>
    <row r="17" spans="1:8" ht="25.5" customHeight="1">
      <c r="A17" s="438">
        <v>6</v>
      </c>
      <c r="B17" s="92" t="s">
        <v>278</v>
      </c>
      <c r="C17" s="434"/>
      <c r="D17" s="400">
        <v>100</v>
      </c>
      <c r="E17" s="440"/>
      <c r="F17" s="411"/>
      <c r="G17" s="400"/>
      <c r="H17" s="442">
        <f>G17*E17</f>
        <v>0</v>
      </c>
    </row>
    <row r="18" spans="1:8" ht="25.5" customHeight="1">
      <c r="A18" s="439"/>
      <c r="B18" s="92" t="s">
        <v>279</v>
      </c>
      <c r="C18" s="413"/>
      <c r="D18" s="401"/>
      <c r="E18" s="441"/>
      <c r="F18" s="385"/>
      <c r="G18" s="401"/>
      <c r="H18" s="443"/>
    </row>
    <row r="19" spans="1:8" ht="12.75">
      <c r="A19" s="438">
        <v>7</v>
      </c>
      <c r="B19" s="92" t="s">
        <v>270</v>
      </c>
      <c r="C19" s="93" t="s">
        <v>52</v>
      </c>
      <c r="D19" s="400">
        <v>4</v>
      </c>
      <c r="E19" s="440"/>
      <c r="F19" s="411"/>
      <c r="G19" s="400"/>
      <c r="H19" s="442">
        <f>G19*E19</f>
        <v>0</v>
      </c>
    </row>
    <row r="20" spans="1:8" ht="12.75">
      <c r="A20" s="439"/>
      <c r="B20" s="92" t="s">
        <v>271</v>
      </c>
      <c r="C20" s="91" t="s">
        <v>63</v>
      </c>
      <c r="D20" s="401"/>
      <c r="E20" s="441"/>
      <c r="F20" s="385"/>
      <c r="G20" s="401"/>
      <c r="H20" s="443"/>
    </row>
    <row r="21" spans="1:8" ht="12.75">
      <c r="A21" s="438">
        <v>8</v>
      </c>
      <c r="B21" s="92" t="s">
        <v>283</v>
      </c>
      <c r="C21" s="93" t="s">
        <v>52</v>
      </c>
      <c r="D21" s="400">
        <v>9</v>
      </c>
      <c r="E21" s="440"/>
      <c r="F21" s="411"/>
      <c r="G21" s="400"/>
      <c r="H21" s="442">
        <f>G21*E21</f>
        <v>0</v>
      </c>
    </row>
    <row r="22" spans="1:8" ht="12.75">
      <c r="A22" s="439"/>
      <c r="B22" s="92" t="s">
        <v>284</v>
      </c>
      <c r="C22" s="91" t="s">
        <v>63</v>
      </c>
      <c r="D22" s="401"/>
      <c r="E22" s="441"/>
      <c r="F22" s="385"/>
      <c r="G22" s="401"/>
      <c r="H22" s="443"/>
    </row>
    <row r="23" spans="1:8" ht="19.5" customHeight="1">
      <c r="A23" s="438">
        <v>9</v>
      </c>
      <c r="B23" s="92" t="s">
        <v>281</v>
      </c>
      <c r="C23" s="93" t="s">
        <v>52</v>
      </c>
      <c r="D23" s="400">
        <v>5</v>
      </c>
      <c r="E23" s="440"/>
      <c r="F23" s="411"/>
      <c r="G23" s="400"/>
      <c r="H23" s="442">
        <f>G23*E23</f>
        <v>0</v>
      </c>
    </row>
    <row r="24" spans="1:8" ht="12.75">
      <c r="A24" s="439"/>
      <c r="B24" s="92" t="s">
        <v>282</v>
      </c>
      <c r="C24" s="91" t="s">
        <v>63</v>
      </c>
      <c r="D24" s="401"/>
      <c r="E24" s="441"/>
      <c r="F24" s="385"/>
      <c r="G24" s="401"/>
      <c r="H24" s="443"/>
    </row>
    <row r="25" spans="1:8" ht="19.5" customHeight="1">
      <c r="A25" s="438">
        <v>10</v>
      </c>
      <c r="B25" s="92" t="s">
        <v>280</v>
      </c>
      <c r="C25" s="93" t="s">
        <v>196</v>
      </c>
      <c r="D25" s="400">
        <v>51.4</v>
      </c>
      <c r="E25" s="440"/>
      <c r="F25" s="411"/>
      <c r="G25" s="400"/>
      <c r="H25" s="442">
        <f>G25*E25</f>
        <v>0</v>
      </c>
    </row>
    <row r="26" spans="1:8" ht="12.75">
      <c r="A26" s="439"/>
      <c r="B26" s="92" t="s">
        <v>195</v>
      </c>
      <c r="C26" s="91" t="s">
        <v>64</v>
      </c>
      <c r="D26" s="401"/>
      <c r="E26" s="441"/>
      <c r="F26" s="385"/>
      <c r="G26" s="401"/>
      <c r="H26" s="443"/>
    </row>
    <row r="27" spans="1:8" s="11" customFormat="1" ht="16.5" customHeight="1" thickBot="1">
      <c r="A27" s="435" t="s">
        <v>194</v>
      </c>
      <c r="B27" s="436"/>
      <c r="C27" s="436"/>
      <c r="D27" s="436"/>
      <c r="E27" s="436"/>
      <c r="F27" s="111">
        <f>SUM(F11:F26)</f>
        <v>0</v>
      </c>
      <c r="G27" s="112"/>
      <c r="H27" s="113">
        <f>SUM(H7:H26)</f>
        <v>0</v>
      </c>
    </row>
    <row r="28" spans="2:6" ht="15">
      <c r="B28" s="88" t="s">
        <v>193</v>
      </c>
      <c r="E28" s="87"/>
      <c r="F28" s="86"/>
    </row>
    <row r="29" spans="1:6" ht="15">
      <c r="A29" s="88"/>
      <c r="B29" s="88" t="s">
        <v>192</v>
      </c>
      <c r="E29" s="87"/>
      <c r="F29" s="86"/>
    </row>
    <row r="30" spans="1:9" ht="68.25" customHeight="1" hidden="1" thickBot="1">
      <c r="A30" s="85"/>
      <c r="B30" s="59"/>
      <c r="C30" s="65"/>
      <c r="D30" s="71"/>
      <c r="E30" s="73"/>
      <c r="F30" s="73"/>
      <c r="G30" s="71"/>
      <c r="H30" s="71"/>
      <c r="I30" s="71"/>
    </row>
    <row r="31" spans="1:9" ht="68.25" customHeight="1" hidden="1" thickTop="1">
      <c r="A31" s="85"/>
      <c r="B31" s="70" t="s">
        <v>161</v>
      </c>
      <c r="C31" s="69"/>
      <c r="D31" s="372" t="s">
        <v>160</v>
      </c>
      <c r="E31" s="372"/>
      <c r="F31" s="372"/>
      <c r="G31" s="68"/>
      <c r="H31" s="68"/>
      <c r="I31" s="60"/>
    </row>
    <row r="32" spans="2:7" ht="68.25" customHeight="1" hidden="1">
      <c r="B32" s="65"/>
      <c r="C32" s="65"/>
      <c r="D32" s="65"/>
      <c r="E32" s="57"/>
      <c r="F32" s="56"/>
      <c r="G32" s="60"/>
    </row>
    <row r="33" spans="2:7" ht="68.25" customHeight="1" hidden="1">
      <c r="B33" s="65"/>
      <c r="C33" s="65"/>
      <c r="D33" s="65"/>
      <c r="E33" s="57"/>
      <c r="F33" s="56"/>
      <c r="G33" s="60"/>
    </row>
    <row r="34" spans="2:7" ht="68.25" customHeight="1" hidden="1" thickBot="1">
      <c r="B34" s="66"/>
      <c r="C34" s="65"/>
      <c r="D34" s="65"/>
      <c r="E34" s="84"/>
      <c r="F34" s="84"/>
      <c r="G34" s="64"/>
    </row>
    <row r="35" spans="2:7" ht="68.25" customHeight="1" hidden="1" thickTop="1">
      <c r="B35" s="370" t="s">
        <v>159</v>
      </c>
      <c r="C35" s="370"/>
      <c r="D35" s="64"/>
      <c r="E35" s="429" t="s">
        <v>158</v>
      </c>
      <c r="F35" s="429"/>
      <c r="G35" s="64"/>
    </row>
  </sheetData>
  <sheetProtection/>
  <mergeCells count="68">
    <mergeCell ref="F21:F22"/>
    <mergeCell ref="G21:G22"/>
    <mergeCell ref="H21:H22"/>
    <mergeCell ref="A2:H2"/>
    <mergeCell ref="A3:H3"/>
    <mergeCell ref="A21:A22"/>
    <mergeCell ref="D21:D22"/>
    <mergeCell ref="B6:H6"/>
    <mergeCell ref="A7:A8"/>
    <mergeCell ref="G7:G10"/>
    <mergeCell ref="H7:H10"/>
    <mergeCell ref="H11:H12"/>
    <mergeCell ref="A23:A24"/>
    <mergeCell ref="D23:D24"/>
    <mergeCell ref="E23:E24"/>
    <mergeCell ref="F23:F24"/>
    <mergeCell ref="G23:G24"/>
    <mergeCell ref="H23:H24"/>
    <mergeCell ref="E21:E22"/>
    <mergeCell ref="A9:A10"/>
    <mergeCell ref="A11:A12"/>
    <mergeCell ref="D11:D12"/>
    <mergeCell ref="E11:E12"/>
    <mergeCell ref="F11:F12"/>
    <mergeCell ref="G11:G12"/>
    <mergeCell ref="C7:C18"/>
    <mergeCell ref="D7:D10"/>
    <mergeCell ref="E7:E10"/>
    <mergeCell ref="F7:F10"/>
    <mergeCell ref="A13:A14"/>
    <mergeCell ref="D13:D14"/>
    <mergeCell ref="E13:E14"/>
    <mergeCell ref="F13:F14"/>
    <mergeCell ref="G13:G14"/>
    <mergeCell ref="H13:H14"/>
    <mergeCell ref="A15:A16"/>
    <mergeCell ref="D15:D16"/>
    <mergeCell ref="E15:E16"/>
    <mergeCell ref="F15:F16"/>
    <mergeCell ref="G15:G16"/>
    <mergeCell ref="H15:H16"/>
    <mergeCell ref="H19:H20"/>
    <mergeCell ref="A17:A18"/>
    <mergeCell ref="D17:D18"/>
    <mergeCell ref="E17:E18"/>
    <mergeCell ref="F17:F18"/>
    <mergeCell ref="G17:G18"/>
    <mergeCell ref="H17:H18"/>
    <mergeCell ref="D25:D26"/>
    <mergeCell ref="E25:E26"/>
    <mergeCell ref="F25:F26"/>
    <mergeCell ref="G25:G26"/>
    <mergeCell ref="H25:H26"/>
    <mergeCell ref="A19:A20"/>
    <mergeCell ref="D19:D20"/>
    <mergeCell ref="E19:E20"/>
    <mergeCell ref="F19:F20"/>
    <mergeCell ref="G19:G20"/>
    <mergeCell ref="A27:E27"/>
    <mergeCell ref="D31:F31"/>
    <mergeCell ref="B35:C35"/>
    <mergeCell ref="E35:F35"/>
    <mergeCell ref="C4:C5"/>
    <mergeCell ref="D4:D5"/>
    <mergeCell ref="E4:E5"/>
    <mergeCell ref="F4:F5"/>
    <mergeCell ref="A5:B5"/>
    <mergeCell ref="A25:A2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J52"/>
  <sheetViews>
    <sheetView zoomScale="85" zoomScaleNormal="85" zoomScalePageLayoutView="0" workbookViewId="0" topLeftCell="A25">
      <selection activeCell="H21" sqref="H21:H37"/>
    </sheetView>
  </sheetViews>
  <sheetFormatPr defaultColWidth="9.140625" defaultRowHeight="12.75"/>
  <cols>
    <col min="1" max="1" width="7.00390625" style="0" customWidth="1"/>
    <col min="2" max="2" width="117.7109375" style="0" customWidth="1"/>
    <col min="3" max="3" width="1.57421875" style="0" customWidth="1"/>
    <col min="4" max="4" width="12.28125" style="0" customWidth="1"/>
    <col min="5" max="5" width="2.140625" style="0" customWidth="1"/>
    <col min="6" max="6" width="11.7109375" style="0" customWidth="1"/>
    <col min="7" max="7" width="1.8515625" style="0" customWidth="1"/>
    <col min="8" max="8" width="18.421875" style="0" customWidth="1"/>
    <col min="9" max="9" width="2.28125" style="0" customWidth="1"/>
    <col min="10" max="10" width="24.00390625" style="0" customWidth="1"/>
  </cols>
  <sheetData>
    <row r="2" ht="18.75" thickBot="1">
      <c r="A2" s="9"/>
    </row>
    <row r="3" spans="1:10" ht="18">
      <c r="A3" s="454" t="s">
        <v>298</v>
      </c>
      <c r="B3" s="455"/>
      <c r="D3" s="336" t="s">
        <v>55</v>
      </c>
      <c r="E3" s="338"/>
      <c r="F3" s="338"/>
      <c r="G3" s="338"/>
      <c r="H3" s="338"/>
      <c r="I3" s="338"/>
      <c r="J3" s="339"/>
    </row>
    <row r="4" spans="1:10" ht="21.75" thickBot="1">
      <c r="A4" s="32"/>
      <c r="B4" s="33" t="s">
        <v>299</v>
      </c>
      <c r="D4" s="340"/>
      <c r="E4" s="341"/>
      <c r="F4" s="341"/>
      <c r="G4" s="341"/>
      <c r="H4" s="341"/>
      <c r="I4" s="341"/>
      <c r="J4" s="342"/>
    </row>
    <row r="5" spans="1:10" ht="16.5" thickBot="1">
      <c r="A5" s="3"/>
      <c r="D5" s="43"/>
      <c r="E5" s="43"/>
      <c r="F5" s="43"/>
      <c r="G5" s="43"/>
      <c r="H5" s="43"/>
      <c r="I5" s="43"/>
      <c r="J5" s="43"/>
    </row>
    <row r="6" spans="1:10" ht="20.25">
      <c r="A6" s="456" t="s">
        <v>12</v>
      </c>
      <c r="B6" s="457"/>
      <c r="D6" s="458"/>
      <c r="E6" s="459"/>
      <c r="F6" s="459"/>
      <c r="G6" s="459"/>
      <c r="H6" s="459"/>
      <c r="I6" s="459"/>
      <c r="J6" s="460"/>
    </row>
    <row r="7" spans="1:10" ht="22.5" thickBot="1">
      <c r="A7" s="461" t="s">
        <v>93</v>
      </c>
      <c r="B7" s="462"/>
      <c r="C7" s="10"/>
      <c r="D7" s="463" t="s">
        <v>94</v>
      </c>
      <c r="E7" s="464"/>
      <c r="F7" s="464"/>
      <c r="G7" s="464"/>
      <c r="H7" s="464"/>
      <c r="I7" s="464"/>
      <c r="J7" s="465"/>
    </row>
    <row r="9" spans="4:8" ht="13.5" thickBot="1">
      <c r="D9" s="4"/>
      <c r="H9" s="4"/>
    </row>
    <row r="10" spans="1:10" ht="13.5" thickBot="1">
      <c r="A10" s="5"/>
      <c r="B10" s="6"/>
      <c r="C10" s="6"/>
      <c r="D10" s="7"/>
      <c r="E10" s="6"/>
      <c r="F10" s="6"/>
      <c r="G10" s="6"/>
      <c r="H10" s="7"/>
      <c r="I10" s="6"/>
      <c r="J10" s="8"/>
    </row>
    <row r="11" spans="4:8" ht="12.75">
      <c r="D11" s="4"/>
      <c r="H11" s="4"/>
    </row>
    <row r="12" ht="15">
      <c r="A12" s="25" t="s">
        <v>32</v>
      </c>
    </row>
    <row r="13" spans="1:8" ht="15">
      <c r="A13" s="11" t="s">
        <v>60</v>
      </c>
      <c r="D13" s="4"/>
      <c r="H13" s="4"/>
    </row>
    <row r="14" spans="1:8" ht="16.5" thickBot="1">
      <c r="A14" s="3"/>
      <c r="D14" s="4"/>
      <c r="H14" s="4"/>
    </row>
    <row r="15" spans="1:10" ht="25.5">
      <c r="A15" s="12"/>
      <c r="B15" s="34" t="s">
        <v>44</v>
      </c>
      <c r="D15" s="36" t="s">
        <v>34</v>
      </c>
      <c r="E15" s="2"/>
      <c r="F15" s="36" t="s">
        <v>33</v>
      </c>
      <c r="G15" s="2"/>
      <c r="H15" s="36" t="s">
        <v>45</v>
      </c>
      <c r="I15" s="2"/>
      <c r="J15" s="36" t="s">
        <v>46</v>
      </c>
    </row>
    <row r="16" spans="1:10" ht="27.75" thickBot="1">
      <c r="A16" s="13"/>
      <c r="B16" s="35" t="s">
        <v>95</v>
      </c>
      <c r="D16" s="37" t="s">
        <v>292</v>
      </c>
      <c r="E16" s="2"/>
      <c r="F16" s="37" t="s">
        <v>97</v>
      </c>
      <c r="G16" s="2"/>
      <c r="H16" s="37" t="s">
        <v>98</v>
      </c>
      <c r="I16" s="2"/>
      <c r="J16" s="37" t="s">
        <v>99</v>
      </c>
    </row>
    <row r="17" spans="4:10" ht="12.75">
      <c r="D17" s="1"/>
      <c r="E17" s="1"/>
      <c r="F17" s="1"/>
      <c r="G17" s="1"/>
      <c r="H17" s="1"/>
      <c r="I17" s="1"/>
      <c r="J17" s="1"/>
    </row>
    <row r="18" spans="1:8" ht="17.25" thickBot="1">
      <c r="A18" s="11"/>
      <c r="B18" s="17"/>
      <c r="F18" s="2"/>
      <c r="G18" s="1"/>
      <c r="H18" s="1"/>
    </row>
    <row r="19" spans="1:10" ht="19.5" thickBot="1">
      <c r="A19" s="15">
        <v>1</v>
      </c>
      <c r="B19" s="466" t="s">
        <v>293</v>
      </c>
      <c r="C19" s="466"/>
      <c r="D19" s="466"/>
      <c r="E19" s="466"/>
      <c r="F19" s="466"/>
      <c r="G19" s="466"/>
      <c r="H19" s="466"/>
      <c r="I19" s="466"/>
      <c r="J19" s="467"/>
    </row>
    <row r="20" spans="1:4" ht="17.25" thickBot="1">
      <c r="A20" s="14"/>
      <c r="B20" s="17"/>
      <c r="D20" s="1"/>
    </row>
    <row r="21" spans="1:10" ht="16.5">
      <c r="A21" s="468">
        <v>1.1</v>
      </c>
      <c r="B21" s="19" t="s">
        <v>428</v>
      </c>
      <c r="D21" s="38" t="s">
        <v>61</v>
      </c>
      <c r="F21" s="470">
        <f>52*1.5</f>
        <v>78</v>
      </c>
      <c r="G21" s="472" t="s">
        <v>14</v>
      </c>
      <c r="H21" s="473"/>
      <c r="J21" s="475">
        <f>H21*F21</f>
        <v>0</v>
      </c>
    </row>
    <row r="22" spans="1:10" ht="17.25" thickBot="1">
      <c r="A22" s="469"/>
      <c r="B22" s="24" t="s">
        <v>300</v>
      </c>
      <c r="D22" s="39" t="s">
        <v>53</v>
      </c>
      <c r="F22" s="471"/>
      <c r="G22" s="472"/>
      <c r="H22" s="474"/>
      <c r="J22" s="476"/>
    </row>
    <row r="23" spans="1:4" ht="17.25" thickBot="1">
      <c r="A23" s="14"/>
      <c r="B23" s="23"/>
      <c r="D23" s="1"/>
    </row>
    <row r="24" spans="1:10" ht="16.5">
      <c r="A24" s="477">
        <v>1.2</v>
      </c>
      <c r="B24" s="21" t="s">
        <v>294</v>
      </c>
      <c r="D24" s="30" t="s">
        <v>49</v>
      </c>
      <c r="F24" s="470">
        <f>0.3*0.5*48</f>
        <v>7.199999999999999</v>
      </c>
      <c r="G24" s="47"/>
      <c r="H24" s="473"/>
      <c r="J24" s="475">
        <f>H24*F24</f>
        <v>0</v>
      </c>
    </row>
    <row r="25" spans="1:10" ht="17.25" thickBot="1">
      <c r="A25" s="478"/>
      <c r="B25" s="40" t="s">
        <v>301</v>
      </c>
      <c r="D25" s="31" t="s">
        <v>48</v>
      </c>
      <c r="F25" s="471"/>
      <c r="G25" s="47" t="s">
        <v>14</v>
      </c>
      <c r="H25" s="474"/>
      <c r="J25" s="476"/>
    </row>
    <row r="26" spans="1:4" ht="17.25" thickBot="1">
      <c r="A26" s="14"/>
      <c r="B26" s="23"/>
      <c r="D26" s="1"/>
    </row>
    <row r="27" spans="1:10" ht="16.5">
      <c r="A27" s="477">
        <v>1.3</v>
      </c>
      <c r="B27" s="44" t="s">
        <v>306</v>
      </c>
      <c r="D27" s="30" t="s">
        <v>61</v>
      </c>
      <c r="F27" s="479">
        <f>1.5*64</f>
        <v>96</v>
      </c>
      <c r="G27" s="47"/>
      <c r="H27" s="473"/>
      <c r="J27" s="475">
        <f>H27*F27</f>
        <v>0</v>
      </c>
    </row>
    <row r="28" spans="1:10" ht="17.25" thickBot="1">
      <c r="A28" s="478"/>
      <c r="B28" s="40" t="s">
        <v>307</v>
      </c>
      <c r="D28" s="31" t="s">
        <v>53</v>
      </c>
      <c r="F28" s="480"/>
      <c r="G28" s="47" t="s">
        <v>14</v>
      </c>
      <c r="H28" s="474"/>
      <c r="J28" s="476"/>
    </row>
    <row r="29" spans="1:2" ht="17.25" thickBot="1">
      <c r="A29" s="11"/>
      <c r="B29" s="17"/>
    </row>
    <row r="30" spans="1:10" ht="16.5">
      <c r="A30" s="468">
        <v>1.4</v>
      </c>
      <c r="B30" s="44" t="s">
        <v>305</v>
      </c>
      <c r="D30" s="30" t="s">
        <v>61</v>
      </c>
      <c r="F30" s="479">
        <f>48*1.5</f>
        <v>72</v>
      </c>
      <c r="G30" s="472" t="s">
        <v>14</v>
      </c>
      <c r="H30" s="473"/>
      <c r="J30" s="475">
        <f>H30*F30</f>
        <v>0</v>
      </c>
    </row>
    <row r="31" spans="1:10" ht="17.25" thickBot="1">
      <c r="A31" s="469">
        <v>10.1</v>
      </c>
      <c r="B31" s="40" t="s">
        <v>304</v>
      </c>
      <c r="D31" s="31" t="s">
        <v>53</v>
      </c>
      <c r="F31" s="480"/>
      <c r="G31" s="472" t="s">
        <v>14</v>
      </c>
      <c r="H31" s="474"/>
      <c r="J31" s="476">
        <f>H31*F31</f>
        <v>0</v>
      </c>
    </row>
    <row r="32" spans="1:2" ht="17.25" thickBot="1">
      <c r="A32" s="11"/>
      <c r="B32" s="17"/>
    </row>
    <row r="33" spans="1:10" ht="16.5">
      <c r="A33" s="468">
        <v>1.5</v>
      </c>
      <c r="B33" s="44" t="s">
        <v>303</v>
      </c>
      <c r="D33" s="30" t="s">
        <v>61</v>
      </c>
      <c r="F33" s="479">
        <f>5*1.8</f>
        <v>9</v>
      </c>
      <c r="G33" s="472" t="s">
        <v>14</v>
      </c>
      <c r="H33" s="473"/>
      <c r="J33" s="475">
        <f>H33*F33</f>
        <v>0</v>
      </c>
    </row>
    <row r="34" spans="1:10" ht="17.25" thickBot="1">
      <c r="A34" s="469">
        <v>10.1</v>
      </c>
      <c r="B34" s="40" t="s">
        <v>302</v>
      </c>
      <c r="D34" s="42" t="s">
        <v>297</v>
      </c>
      <c r="F34" s="480"/>
      <c r="G34" s="472" t="s">
        <v>14</v>
      </c>
      <c r="H34" s="474"/>
      <c r="J34" s="476">
        <f>H34*F34</f>
        <v>0</v>
      </c>
    </row>
    <row r="35" spans="1:4" ht="17.25" thickBot="1">
      <c r="A35" s="11"/>
      <c r="B35" s="18"/>
      <c r="D35" s="1"/>
    </row>
    <row r="36" spans="1:10" ht="16.5">
      <c r="A36" s="468">
        <v>1.6</v>
      </c>
      <c r="B36" s="44" t="s">
        <v>295</v>
      </c>
      <c r="D36" s="30" t="s">
        <v>61</v>
      </c>
      <c r="F36" s="479">
        <f>116*1.3</f>
        <v>150.8</v>
      </c>
      <c r="G36" s="472" t="s">
        <v>14</v>
      </c>
      <c r="H36" s="473"/>
      <c r="J36" s="475">
        <f>H36*F36</f>
        <v>0</v>
      </c>
    </row>
    <row r="37" spans="1:10" ht="18.75" customHeight="1" thickBot="1">
      <c r="A37" s="469">
        <v>10.1</v>
      </c>
      <c r="B37" s="40" t="s">
        <v>296</v>
      </c>
      <c r="D37" s="42" t="s">
        <v>297</v>
      </c>
      <c r="F37" s="480"/>
      <c r="G37" s="472" t="s">
        <v>14</v>
      </c>
      <c r="H37" s="474"/>
      <c r="J37" s="476">
        <f>H37*F37</f>
        <v>0</v>
      </c>
    </row>
    <row r="38" spans="1:10" ht="17.25" thickBot="1">
      <c r="A38" s="41"/>
      <c r="B38" s="117"/>
      <c r="D38" s="118"/>
      <c r="F38" s="1"/>
      <c r="G38" s="1"/>
      <c r="H38" s="45"/>
      <c r="J38" s="46"/>
    </row>
    <row r="39" spans="1:10" ht="17.25" thickBot="1">
      <c r="A39" s="11"/>
      <c r="B39" s="17"/>
      <c r="F39" s="481" t="s">
        <v>308</v>
      </c>
      <c r="G39" s="482"/>
      <c r="H39" s="483"/>
      <c r="J39" s="26">
        <f>SUM(J21:J37)</f>
        <v>0</v>
      </c>
    </row>
    <row r="40" spans="1:10" ht="17.25" thickBot="1">
      <c r="A40" s="11"/>
      <c r="B40" s="17"/>
      <c r="F40" s="27"/>
      <c r="G40" s="27"/>
      <c r="H40" s="27"/>
      <c r="J40" s="28"/>
    </row>
    <row r="41" spans="4:10" ht="38.25" customHeight="1" thickBot="1">
      <c r="D41" s="484" t="s">
        <v>67</v>
      </c>
      <c r="E41" s="485"/>
      <c r="F41" s="485"/>
      <c r="G41" s="485"/>
      <c r="H41" s="486"/>
      <c r="I41" s="20"/>
      <c r="J41" s="29">
        <f>J39</f>
        <v>0</v>
      </c>
    </row>
    <row r="42" ht="6" customHeight="1"/>
    <row r="52" spans="2:4" ht="20.25">
      <c r="B52" s="22" t="s">
        <v>31</v>
      </c>
      <c r="D52" s="22" t="s">
        <v>30</v>
      </c>
    </row>
  </sheetData>
  <sheetProtection/>
  <mergeCells count="37">
    <mergeCell ref="D41:H41"/>
    <mergeCell ref="A30:A31"/>
    <mergeCell ref="F30:F31"/>
    <mergeCell ref="G30:G31"/>
    <mergeCell ref="H30:H31"/>
    <mergeCell ref="A36:A37"/>
    <mergeCell ref="F36:F37"/>
    <mergeCell ref="G36:G37"/>
    <mergeCell ref="H36:H37"/>
    <mergeCell ref="A33:A34"/>
    <mergeCell ref="F33:F34"/>
    <mergeCell ref="G33:G34"/>
    <mergeCell ref="H33:H34"/>
    <mergeCell ref="J30:J31"/>
    <mergeCell ref="F39:H39"/>
    <mergeCell ref="J36:J37"/>
    <mergeCell ref="J33:J34"/>
    <mergeCell ref="A24:A25"/>
    <mergeCell ref="F24:F25"/>
    <mergeCell ref="H24:H25"/>
    <mergeCell ref="J24:J25"/>
    <mergeCell ref="A27:A28"/>
    <mergeCell ref="F27:F28"/>
    <mergeCell ref="H27:H28"/>
    <mergeCell ref="J27:J28"/>
    <mergeCell ref="B19:J19"/>
    <mergeCell ref="A21:A22"/>
    <mergeCell ref="F21:F22"/>
    <mergeCell ref="G21:G22"/>
    <mergeCell ref="H21:H22"/>
    <mergeCell ref="J21:J22"/>
    <mergeCell ref="A3:B3"/>
    <mergeCell ref="D3:J4"/>
    <mergeCell ref="A6:B6"/>
    <mergeCell ref="D6:J6"/>
    <mergeCell ref="A7:B7"/>
    <mergeCell ref="D7:J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BE29"/>
  <sheetViews>
    <sheetView zoomScalePageLayoutView="0" workbookViewId="0" topLeftCell="AJ1">
      <selection activeCell="AU20" sqref="AU20"/>
    </sheetView>
  </sheetViews>
  <sheetFormatPr defaultColWidth="3.8515625" defaultRowHeight="12.75"/>
  <cols>
    <col min="1" max="1" width="3.8515625" style="0" customWidth="1"/>
    <col min="2" max="2" width="18.421875" style="0" bestFit="1" customWidth="1"/>
    <col min="3" max="56" width="5.28125" style="0" customWidth="1"/>
    <col min="57" max="57" width="7.28125" style="0" bestFit="1" customWidth="1"/>
  </cols>
  <sheetData>
    <row r="1" spans="3:56" ht="12.75">
      <c r="C1" s="54">
        <v>1</v>
      </c>
      <c r="D1" s="54">
        <v>2</v>
      </c>
      <c r="E1" s="54">
        <v>3</v>
      </c>
      <c r="F1" s="54">
        <v>4</v>
      </c>
      <c r="G1" s="54">
        <v>5</v>
      </c>
      <c r="H1" s="54">
        <v>6</v>
      </c>
      <c r="I1" s="54">
        <v>7</v>
      </c>
      <c r="J1" s="54">
        <v>8</v>
      </c>
      <c r="K1" s="54">
        <v>9</v>
      </c>
      <c r="L1" s="54">
        <v>10</v>
      </c>
      <c r="M1" s="54">
        <v>11</v>
      </c>
      <c r="N1" s="54">
        <v>12</v>
      </c>
      <c r="O1" s="54">
        <v>13</v>
      </c>
      <c r="P1" s="54">
        <v>14</v>
      </c>
      <c r="Q1" s="54">
        <v>15</v>
      </c>
      <c r="R1" s="54">
        <v>16</v>
      </c>
      <c r="S1" s="54">
        <v>17</v>
      </c>
      <c r="T1" s="54">
        <v>18</v>
      </c>
      <c r="U1" s="54">
        <v>19</v>
      </c>
      <c r="V1" s="54">
        <v>20</v>
      </c>
      <c r="W1" s="54">
        <v>21</v>
      </c>
      <c r="X1" s="54">
        <v>22</v>
      </c>
      <c r="Y1" s="54">
        <v>23</v>
      </c>
      <c r="Z1" s="54">
        <v>24</v>
      </c>
      <c r="AA1" s="54">
        <v>25</v>
      </c>
      <c r="AB1" s="54">
        <v>26</v>
      </c>
      <c r="AC1" s="54">
        <v>27</v>
      </c>
      <c r="AD1" s="54">
        <v>28</v>
      </c>
      <c r="AE1" s="54">
        <v>29</v>
      </c>
      <c r="AF1" s="54">
        <v>30</v>
      </c>
      <c r="AG1" s="54">
        <v>31</v>
      </c>
      <c r="AH1" s="54">
        <v>32</v>
      </c>
      <c r="AI1" s="54">
        <v>33</v>
      </c>
      <c r="AJ1" s="54">
        <v>34</v>
      </c>
      <c r="AK1">
        <v>35</v>
      </c>
      <c r="AL1">
        <v>36</v>
      </c>
      <c r="AM1">
        <v>37</v>
      </c>
      <c r="AN1">
        <v>38</v>
      </c>
      <c r="AO1">
        <v>39</v>
      </c>
      <c r="AP1">
        <v>40</v>
      </c>
      <c r="AQ1">
        <v>41</v>
      </c>
      <c r="AR1">
        <v>42</v>
      </c>
      <c r="AS1">
        <v>43</v>
      </c>
      <c r="AT1">
        <v>44</v>
      </c>
      <c r="AU1">
        <v>45</v>
      </c>
      <c r="AV1">
        <v>46</v>
      </c>
      <c r="AW1">
        <v>47</v>
      </c>
      <c r="AX1">
        <v>48</v>
      </c>
      <c r="AY1">
        <v>49</v>
      </c>
      <c r="AZ1">
        <v>50</v>
      </c>
      <c r="BA1">
        <v>51</v>
      </c>
      <c r="BB1">
        <v>52</v>
      </c>
      <c r="BC1">
        <v>53</v>
      </c>
      <c r="BD1">
        <v>54</v>
      </c>
    </row>
    <row r="2" spans="3:56" ht="12.75">
      <c r="C2">
        <v>1</v>
      </c>
      <c r="D2">
        <v>2</v>
      </c>
      <c r="E2">
        <v>4</v>
      </c>
      <c r="F2">
        <v>5</v>
      </c>
      <c r="G2">
        <v>6</v>
      </c>
      <c r="H2">
        <v>2</v>
      </c>
      <c r="I2">
        <v>4</v>
      </c>
      <c r="J2">
        <v>5</v>
      </c>
      <c r="K2">
        <v>3</v>
      </c>
      <c r="L2">
        <v>1</v>
      </c>
      <c r="M2">
        <v>7</v>
      </c>
      <c r="N2">
        <v>8</v>
      </c>
      <c r="O2">
        <v>9</v>
      </c>
      <c r="P2">
        <v>8</v>
      </c>
      <c r="Q2">
        <v>8</v>
      </c>
      <c r="R2">
        <v>12</v>
      </c>
      <c r="S2">
        <v>10</v>
      </c>
      <c r="T2">
        <v>11</v>
      </c>
      <c r="U2">
        <v>7</v>
      </c>
      <c r="V2">
        <v>1</v>
      </c>
      <c r="W2">
        <v>3</v>
      </c>
      <c r="X2">
        <v>4</v>
      </c>
      <c r="Y2">
        <v>5</v>
      </c>
      <c r="Z2">
        <v>2</v>
      </c>
      <c r="AA2">
        <v>14</v>
      </c>
      <c r="AB2">
        <v>13</v>
      </c>
      <c r="AC2">
        <v>8</v>
      </c>
      <c r="AD2">
        <v>8</v>
      </c>
      <c r="AE2">
        <v>15</v>
      </c>
      <c r="AF2">
        <v>4</v>
      </c>
      <c r="AG2">
        <v>16</v>
      </c>
      <c r="AH2">
        <v>17</v>
      </c>
      <c r="AI2">
        <v>17</v>
      </c>
      <c r="AJ2">
        <v>17</v>
      </c>
      <c r="AK2">
        <v>1</v>
      </c>
      <c r="AL2">
        <v>16</v>
      </c>
      <c r="AM2">
        <v>2</v>
      </c>
      <c r="AN2">
        <v>5</v>
      </c>
      <c r="AO2">
        <v>3</v>
      </c>
      <c r="AP2">
        <v>4</v>
      </c>
      <c r="AQ2">
        <v>4</v>
      </c>
      <c r="AR2">
        <v>8</v>
      </c>
      <c r="AS2">
        <v>3</v>
      </c>
      <c r="AT2">
        <v>4</v>
      </c>
      <c r="AU2">
        <v>2</v>
      </c>
      <c r="AV2">
        <v>5</v>
      </c>
      <c r="AW2">
        <v>16</v>
      </c>
      <c r="AX2">
        <v>1</v>
      </c>
      <c r="AY2">
        <v>7</v>
      </c>
      <c r="AZ2">
        <v>19</v>
      </c>
      <c r="BA2">
        <v>9</v>
      </c>
      <c r="BB2">
        <v>7</v>
      </c>
      <c r="BC2">
        <v>8</v>
      </c>
      <c r="BD2">
        <v>16</v>
      </c>
    </row>
    <row r="3" spans="2:56" ht="12.75">
      <c r="B3" t="s">
        <v>68</v>
      </c>
      <c r="C3">
        <v>5.6</v>
      </c>
      <c r="D3">
        <v>10.75</v>
      </c>
      <c r="E3">
        <v>3.6</v>
      </c>
      <c r="F3">
        <v>1.4</v>
      </c>
      <c r="G3">
        <v>1.9</v>
      </c>
      <c r="H3">
        <v>5.6</v>
      </c>
      <c r="I3">
        <v>4</v>
      </c>
      <c r="J3">
        <v>1.4</v>
      </c>
      <c r="K3">
        <v>5.6</v>
      </c>
      <c r="L3">
        <v>2.9</v>
      </c>
      <c r="M3">
        <v>2.8</v>
      </c>
      <c r="N3">
        <f>18.45/1.35</f>
        <v>13.666666666666666</v>
      </c>
      <c r="O3">
        <v>6.55</v>
      </c>
      <c r="P3">
        <v>1.2</v>
      </c>
      <c r="Q3">
        <v>1.1</v>
      </c>
      <c r="R3">
        <v>2.85</v>
      </c>
      <c r="S3">
        <v>4.1</v>
      </c>
      <c r="T3">
        <v>4.1</v>
      </c>
      <c r="U3">
        <v>5.6</v>
      </c>
      <c r="V3">
        <v>5.6</v>
      </c>
      <c r="W3">
        <v>5.6</v>
      </c>
      <c r="X3">
        <v>4.05</v>
      </c>
      <c r="Y3">
        <v>2.65</v>
      </c>
      <c r="Z3">
        <v>5.6</v>
      </c>
      <c r="AA3">
        <v>3.55</v>
      </c>
      <c r="AB3">
        <v>2.78</v>
      </c>
      <c r="AC3">
        <v>1.09</v>
      </c>
      <c r="AD3">
        <v>1.4</v>
      </c>
      <c r="AE3">
        <v>4.06</v>
      </c>
      <c r="AF3">
        <v>1.4</v>
      </c>
      <c r="AG3">
        <v>26.94</v>
      </c>
      <c r="AK3">
        <v>2.88</v>
      </c>
      <c r="AL3">
        <v>6.13</v>
      </c>
      <c r="AM3">
        <v>5.6</v>
      </c>
      <c r="AN3">
        <v>2</v>
      </c>
      <c r="AO3">
        <v>5.6</v>
      </c>
      <c r="AP3">
        <v>3.7</v>
      </c>
      <c r="AQ3">
        <v>1.8</v>
      </c>
      <c r="AR3">
        <v>1.6</v>
      </c>
      <c r="AS3">
        <v>11.8</v>
      </c>
      <c r="AT3">
        <v>3.7</v>
      </c>
      <c r="AU3">
        <v>5.6</v>
      </c>
      <c r="AV3">
        <v>2</v>
      </c>
      <c r="AW3">
        <v>6</v>
      </c>
      <c r="AX3">
        <v>3.28</v>
      </c>
      <c r="AY3">
        <v>2.78</v>
      </c>
      <c r="AZ3">
        <v>10.57</v>
      </c>
      <c r="BA3">
        <v>4.15</v>
      </c>
      <c r="BB3">
        <v>5.6</v>
      </c>
      <c r="BC3">
        <v>1.3</v>
      </c>
      <c r="BD3">
        <v>3.37</v>
      </c>
    </row>
    <row r="4" spans="2:56" ht="12.75">
      <c r="B4" t="s">
        <v>69</v>
      </c>
      <c r="C4">
        <v>2.9</v>
      </c>
      <c r="D4">
        <v>5.5</v>
      </c>
      <c r="E4">
        <v>5.6</v>
      </c>
      <c r="F4">
        <v>2</v>
      </c>
      <c r="G4">
        <v>1.7</v>
      </c>
      <c r="H4">
        <v>11.55</v>
      </c>
      <c r="I4">
        <v>4.05</v>
      </c>
      <c r="J4">
        <v>2.8</v>
      </c>
      <c r="K4">
        <v>5.6</v>
      </c>
      <c r="L4">
        <v>5.6</v>
      </c>
      <c r="M4">
        <v>5.6</v>
      </c>
      <c r="N4">
        <v>1.35</v>
      </c>
      <c r="O4">
        <v>4.1</v>
      </c>
      <c r="P4">
        <v>1.2</v>
      </c>
      <c r="Q4">
        <f>3.06/1.1</f>
        <v>2.7818181818181817</v>
      </c>
      <c r="R4">
        <f>5.72/2.85</f>
        <v>2.007017543859649</v>
      </c>
      <c r="S4">
        <v>2.54</v>
      </c>
      <c r="T4">
        <v>2.57</v>
      </c>
      <c r="U4">
        <v>2.8</v>
      </c>
      <c r="V4">
        <v>3.28</v>
      </c>
      <c r="W4">
        <v>5.6</v>
      </c>
      <c r="X4">
        <v>4</v>
      </c>
      <c r="Y4">
        <v>1.4</v>
      </c>
      <c r="Z4">
        <v>11.6</v>
      </c>
      <c r="AA4">
        <v>5.6</v>
      </c>
      <c r="AB4">
        <v>4.06</v>
      </c>
      <c r="AC4">
        <v>1.8</v>
      </c>
      <c r="AD4">
        <v>1.54</v>
      </c>
      <c r="AE4">
        <v>2.37</v>
      </c>
      <c r="AF4">
        <v>2.37</v>
      </c>
      <c r="AG4">
        <v>3</v>
      </c>
      <c r="AK4">
        <v>5.6</v>
      </c>
      <c r="AL4">
        <v>6</v>
      </c>
      <c r="AM4">
        <v>11.6</v>
      </c>
      <c r="AN4">
        <v>2.41</v>
      </c>
      <c r="AO4">
        <v>11.72</v>
      </c>
      <c r="AP4">
        <v>3.28</v>
      </c>
      <c r="AQ4">
        <v>1.6</v>
      </c>
      <c r="AR4">
        <v>1.2</v>
      </c>
      <c r="AS4">
        <v>5.6</v>
      </c>
      <c r="AT4">
        <v>3.28</v>
      </c>
      <c r="AU4">
        <v>11.61</v>
      </c>
      <c r="AV4">
        <v>2.41</v>
      </c>
      <c r="AW4">
        <v>6</v>
      </c>
      <c r="AX4">
        <v>5.6</v>
      </c>
      <c r="AY4">
        <v>5.6</v>
      </c>
      <c r="AZ4">
        <v>5.6</v>
      </c>
      <c r="BA4">
        <v>2.89</v>
      </c>
      <c r="BB4">
        <v>2.78</v>
      </c>
      <c r="BC4">
        <v>3.29</v>
      </c>
      <c r="BD4">
        <v>26.94</v>
      </c>
    </row>
    <row r="5" spans="2:56" ht="12.75">
      <c r="B5" t="s">
        <v>70</v>
      </c>
      <c r="C5">
        <v>3</v>
      </c>
      <c r="D5">
        <v>3</v>
      </c>
      <c r="E5">
        <v>3</v>
      </c>
      <c r="F5">
        <v>3</v>
      </c>
      <c r="G5">
        <v>3</v>
      </c>
      <c r="H5">
        <v>3</v>
      </c>
      <c r="I5">
        <v>3</v>
      </c>
      <c r="J5">
        <v>3</v>
      </c>
      <c r="K5">
        <v>3</v>
      </c>
      <c r="L5">
        <v>3</v>
      </c>
      <c r="M5">
        <v>3.3</v>
      </c>
      <c r="N5">
        <v>3</v>
      </c>
      <c r="O5">
        <v>3</v>
      </c>
      <c r="P5">
        <v>3</v>
      </c>
      <c r="Q5">
        <v>3</v>
      </c>
      <c r="R5">
        <v>3</v>
      </c>
      <c r="S5">
        <v>3</v>
      </c>
      <c r="T5">
        <v>3</v>
      </c>
      <c r="U5">
        <v>3.3</v>
      </c>
      <c r="V5">
        <v>3</v>
      </c>
      <c r="W5">
        <v>3</v>
      </c>
      <c r="X5">
        <v>3</v>
      </c>
      <c r="Y5">
        <v>3</v>
      </c>
      <c r="Z5">
        <v>3</v>
      </c>
      <c r="AA5">
        <v>3</v>
      </c>
      <c r="AB5">
        <v>3</v>
      </c>
      <c r="AC5">
        <v>3</v>
      </c>
      <c r="AD5">
        <v>3</v>
      </c>
      <c r="AE5">
        <v>3</v>
      </c>
      <c r="AF5">
        <v>3</v>
      </c>
      <c r="AG5">
        <v>3</v>
      </c>
      <c r="AH5">
        <v>3</v>
      </c>
      <c r="AI5">
        <v>3</v>
      </c>
      <c r="AJ5">
        <v>3</v>
      </c>
      <c r="AK5">
        <v>3</v>
      </c>
      <c r="AL5">
        <v>3</v>
      </c>
      <c r="AM5">
        <v>3</v>
      </c>
      <c r="AN5">
        <v>3</v>
      </c>
      <c r="AO5">
        <v>3</v>
      </c>
      <c r="AP5">
        <v>3</v>
      </c>
      <c r="AQ5">
        <v>3</v>
      </c>
      <c r="AR5">
        <v>3</v>
      </c>
      <c r="AS5">
        <v>3</v>
      </c>
      <c r="AT5">
        <v>3</v>
      </c>
      <c r="AU5">
        <v>3</v>
      </c>
      <c r="AV5">
        <v>3</v>
      </c>
      <c r="AW5">
        <v>3</v>
      </c>
      <c r="AX5">
        <v>3</v>
      </c>
      <c r="AY5">
        <v>3.3</v>
      </c>
      <c r="AZ5">
        <v>3</v>
      </c>
      <c r="BA5">
        <v>3</v>
      </c>
      <c r="BB5">
        <v>3.3</v>
      </c>
      <c r="BC5">
        <v>3</v>
      </c>
      <c r="BD5">
        <v>3</v>
      </c>
    </row>
    <row r="6" spans="2:57" ht="12.75">
      <c r="B6" t="s">
        <v>71</v>
      </c>
      <c r="C6">
        <f aca="true" t="shared" si="0" ref="C6:BD6">C4*2+C3*2</f>
        <v>17</v>
      </c>
      <c r="D6">
        <f t="shared" si="0"/>
        <v>32.5</v>
      </c>
      <c r="E6">
        <f t="shared" si="0"/>
        <v>18.4</v>
      </c>
      <c r="F6">
        <f t="shared" si="0"/>
        <v>6.8</v>
      </c>
      <c r="G6">
        <f t="shared" si="0"/>
        <v>7.199999999999999</v>
      </c>
      <c r="H6">
        <f t="shared" si="0"/>
        <v>34.3</v>
      </c>
      <c r="I6">
        <f t="shared" si="0"/>
        <v>16.1</v>
      </c>
      <c r="J6">
        <f t="shared" si="0"/>
        <v>8.399999999999999</v>
      </c>
      <c r="K6">
        <f t="shared" si="0"/>
        <v>22.4</v>
      </c>
      <c r="L6">
        <f t="shared" si="0"/>
        <v>17</v>
      </c>
      <c r="M6">
        <f t="shared" si="0"/>
        <v>16.799999999999997</v>
      </c>
      <c r="N6">
        <f t="shared" si="0"/>
        <v>30.03333333333333</v>
      </c>
      <c r="O6">
        <f t="shared" si="0"/>
        <v>21.299999999999997</v>
      </c>
      <c r="P6">
        <f t="shared" si="0"/>
        <v>4.8</v>
      </c>
      <c r="Q6">
        <f t="shared" si="0"/>
        <v>7.763636363636364</v>
      </c>
      <c r="R6">
        <f t="shared" si="0"/>
        <v>9.7140350877193</v>
      </c>
      <c r="S6">
        <f t="shared" si="0"/>
        <v>13.28</v>
      </c>
      <c r="T6">
        <f t="shared" si="0"/>
        <v>13.34</v>
      </c>
      <c r="U6">
        <f t="shared" si="0"/>
        <v>16.799999999999997</v>
      </c>
      <c r="V6">
        <f t="shared" si="0"/>
        <v>17.759999999999998</v>
      </c>
      <c r="W6">
        <f t="shared" si="0"/>
        <v>22.4</v>
      </c>
      <c r="X6">
        <f t="shared" si="0"/>
        <v>16.1</v>
      </c>
      <c r="Y6">
        <f t="shared" si="0"/>
        <v>8.1</v>
      </c>
      <c r="Z6">
        <f t="shared" si="0"/>
        <v>34.4</v>
      </c>
      <c r="AA6">
        <f t="shared" si="0"/>
        <v>18.299999999999997</v>
      </c>
      <c r="AB6">
        <f t="shared" si="0"/>
        <v>13.68</v>
      </c>
      <c r="AC6">
        <f t="shared" si="0"/>
        <v>5.78</v>
      </c>
      <c r="AD6">
        <f t="shared" si="0"/>
        <v>5.88</v>
      </c>
      <c r="AE6">
        <f t="shared" si="0"/>
        <v>12.86</v>
      </c>
      <c r="AF6">
        <f t="shared" si="0"/>
        <v>7.54</v>
      </c>
      <c r="AG6">
        <f t="shared" si="0"/>
        <v>59.88</v>
      </c>
      <c r="AH6">
        <f t="shared" si="0"/>
        <v>0</v>
      </c>
      <c r="AI6">
        <f t="shared" si="0"/>
        <v>0</v>
      </c>
      <c r="AJ6">
        <f t="shared" si="0"/>
        <v>0</v>
      </c>
      <c r="AK6">
        <f t="shared" si="0"/>
        <v>16.96</v>
      </c>
      <c r="AL6">
        <f t="shared" si="0"/>
        <v>24.259999999999998</v>
      </c>
      <c r="AM6">
        <f t="shared" si="0"/>
        <v>34.4</v>
      </c>
      <c r="AN6">
        <f t="shared" si="0"/>
        <v>8.82</v>
      </c>
      <c r="AO6">
        <f t="shared" si="0"/>
        <v>34.64</v>
      </c>
      <c r="AP6">
        <f t="shared" si="0"/>
        <v>13.96</v>
      </c>
      <c r="AQ6">
        <f t="shared" si="0"/>
        <v>6.800000000000001</v>
      </c>
      <c r="AR6">
        <f t="shared" si="0"/>
        <v>5.6</v>
      </c>
      <c r="AS6">
        <f t="shared" si="0"/>
        <v>34.8</v>
      </c>
      <c r="AT6">
        <f t="shared" si="0"/>
        <v>13.96</v>
      </c>
      <c r="AU6">
        <f t="shared" si="0"/>
        <v>34.42</v>
      </c>
      <c r="AV6">
        <f t="shared" si="0"/>
        <v>8.82</v>
      </c>
      <c r="AW6">
        <f t="shared" si="0"/>
        <v>24</v>
      </c>
      <c r="AX6">
        <f t="shared" si="0"/>
        <v>17.759999999999998</v>
      </c>
      <c r="AY6">
        <f t="shared" si="0"/>
        <v>16.759999999999998</v>
      </c>
      <c r="AZ6">
        <f t="shared" si="0"/>
        <v>32.34</v>
      </c>
      <c r="BA6">
        <f t="shared" si="0"/>
        <v>14.080000000000002</v>
      </c>
      <c r="BB6">
        <f t="shared" si="0"/>
        <v>16.759999999999998</v>
      </c>
      <c r="BC6">
        <f t="shared" si="0"/>
        <v>9.18</v>
      </c>
      <c r="BD6">
        <f t="shared" si="0"/>
        <v>60.620000000000005</v>
      </c>
      <c r="BE6" s="48">
        <f>SUM(C6:BD6)</f>
        <v>965.5510047846891</v>
      </c>
    </row>
    <row r="7" spans="2:57" ht="12.75">
      <c r="B7" t="s">
        <v>72</v>
      </c>
      <c r="C7">
        <f>C4*C3</f>
        <v>16.24</v>
      </c>
      <c r="D7">
        <f>D4*D3</f>
        <v>59.125</v>
      </c>
      <c r="E7">
        <v>12.96</v>
      </c>
      <c r="F7">
        <f>F4*F3</f>
        <v>2.8</v>
      </c>
      <c r="G7">
        <f>G4*G3</f>
        <v>3.23</v>
      </c>
      <c r="H7">
        <v>47.53</v>
      </c>
      <c r="I7">
        <v>11.78</v>
      </c>
      <c r="J7">
        <f>J4*J3</f>
        <v>3.9199999999999995</v>
      </c>
      <c r="K7">
        <f aca="true" t="shared" si="1" ref="K7:U7">K4*K3</f>
        <v>31.359999999999996</v>
      </c>
      <c r="L7">
        <f t="shared" si="1"/>
        <v>16.24</v>
      </c>
      <c r="M7">
        <f t="shared" si="1"/>
        <v>15.679999999999998</v>
      </c>
      <c r="N7">
        <f t="shared" si="1"/>
        <v>18.45</v>
      </c>
      <c r="O7">
        <v>21.96</v>
      </c>
      <c r="P7">
        <f t="shared" si="1"/>
        <v>1.44</v>
      </c>
      <c r="Q7">
        <f t="shared" si="1"/>
        <v>3.06</v>
      </c>
      <c r="R7">
        <f t="shared" si="1"/>
        <v>5.720000000000001</v>
      </c>
      <c r="S7">
        <f t="shared" si="1"/>
        <v>10.414</v>
      </c>
      <c r="T7">
        <f t="shared" si="1"/>
        <v>10.536999999999999</v>
      </c>
      <c r="U7">
        <f t="shared" si="1"/>
        <v>15.679999999999998</v>
      </c>
      <c r="V7">
        <f>V4*V3</f>
        <v>18.368</v>
      </c>
      <c r="W7">
        <f>W4*W3</f>
        <v>31.359999999999996</v>
      </c>
      <c r="X7">
        <v>11.78</v>
      </c>
      <c r="Y7">
        <f>Y4*Y3</f>
        <v>3.7099999999999995</v>
      </c>
      <c r="Z7">
        <v>47.55</v>
      </c>
      <c r="AA7">
        <v>19.8</v>
      </c>
      <c r="AB7">
        <v>11.27</v>
      </c>
      <c r="AC7">
        <v>1.33</v>
      </c>
      <c r="AD7">
        <v>2.15</v>
      </c>
      <c r="AE7">
        <v>9.61</v>
      </c>
      <c r="AF7">
        <v>3.32</v>
      </c>
      <c r="AG7">
        <v>79</v>
      </c>
      <c r="AH7">
        <v>3.97</v>
      </c>
      <c r="AI7">
        <v>4.65</v>
      </c>
      <c r="AJ7">
        <v>4.41</v>
      </c>
      <c r="AK7">
        <v>16.13</v>
      </c>
      <c r="AL7">
        <v>37.2</v>
      </c>
      <c r="AM7">
        <v>59.45</v>
      </c>
      <c r="AN7">
        <v>4.82</v>
      </c>
      <c r="AO7">
        <v>52.5</v>
      </c>
      <c r="AP7">
        <v>12</v>
      </c>
      <c r="AQ7">
        <v>2.88</v>
      </c>
      <c r="AR7">
        <v>1.92</v>
      </c>
      <c r="AS7">
        <v>52.8</v>
      </c>
      <c r="AT7">
        <v>12</v>
      </c>
      <c r="AU7">
        <v>59.5</v>
      </c>
      <c r="AV7">
        <v>4.82</v>
      </c>
      <c r="AW7">
        <v>37.6</v>
      </c>
      <c r="AX7">
        <v>18.37</v>
      </c>
      <c r="AY7">
        <v>15.55</v>
      </c>
      <c r="AZ7">
        <v>59.21</v>
      </c>
      <c r="BA7">
        <v>10.83</v>
      </c>
      <c r="BB7">
        <v>15.44</v>
      </c>
      <c r="BC7">
        <v>4.28</v>
      </c>
      <c r="BD7">
        <v>89.43</v>
      </c>
      <c r="BE7" s="48">
        <f>SUM(C7:BD7)</f>
        <v>1127.134</v>
      </c>
    </row>
    <row r="8" ht="12.75">
      <c r="BE8" s="48"/>
    </row>
    <row r="9" spans="2:57" ht="12.75">
      <c r="B9" t="s">
        <v>73</v>
      </c>
      <c r="C9">
        <f aca="true" t="shared" si="2" ref="C9:BD9">C6*C5</f>
        <v>51</v>
      </c>
      <c r="D9">
        <f t="shared" si="2"/>
        <v>97.5</v>
      </c>
      <c r="E9">
        <f t="shared" si="2"/>
        <v>55.199999999999996</v>
      </c>
      <c r="F9">
        <f t="shared" si="2"/>
        <v>20.4</v>
      </c>
      <c r="G9">
        <f t="shared" si="2"/>
        <v>21.599999999999998</v>
      </c>
      <c r="H9">
        <f t="shared" si="2"/>
        <v>102.89999999999999</v>
      </c>
      <c r="I9">
        <f t="shared" si="2"/>
        <v>48.300000000000004</v>
      </c>
      <c r="J9">
        <f t="shared" si="2"/>
        <v>25.199999999999996</v>
      </c>
      <c r="K9">
        <f t="shared" si="2"/>
        <v>67.19999999999999</v>
      </c>
      <c r="L9">
        <f t="shared" si="2"/>
        <v>51</v>
      </c>
      <c r="M9">
        <f t="shared" si="2"/>
        <v>55.43999999999999</v>
      </c>
      <c r="N9">
        <f t="shared" si="2"/>
        <v>90.1</v>
      </c>
      <c r="O9">
        <f t="shared" si="2"/>
        <v>63.89999999999999</v>
      </c>
      <c r="P9">
        <f t="shared" si="2"/>
        <v>14.399999999999999</v>
      </c>
      <c r="Q9">
        <f t="shared" si="2"/>
        <v>23.29090909090909</v>
      </c>
      <c r="R9">
        <f t="shared" si="2"/>
        <v>29.142105263157898</v>
      </c>
      <c r="S9">
        <f t="shared" si="2"/>
        <v>39.839999999999996</v>
      </c>
      <c r="T9">
        <f t="shared" si="2"/>
        <v>40.019999999999996</v>
      </c>
      <c r="U9">
        <f t="shared" si="2"/>
        <v>55.43999999999999</v>
      </c>
      <c r="V9">
        <f t="shared" si="2"/>
        <v>53.279999999999994</v>
      </c>
      <c r="W9">
        <f t="shared" si="2"/>
        <v>67.19999999999999</v>
      </c>
      <c r="X9">
        <f t="shared" si="2"/>
        <v>48.300000000000004</v>
      </c>
      <c r="Y9">
        <f t="shared" si="2"/>
        <v>24.299999999999997</v>
      </c>
      <c r="Z9">
        <f t="shared" si="2"/>
        <v>103.19999999999999</v>
      </c>
      <c r="AA9">
        <f t="shared" si="2"/>
        <v>54.89999999999999</v>
      </c>
      <c r="AB9">
        <f t="shared" si="2"/>
        <v>41.04</v>
      </c>
      <c r="AC9">
        <f t="shared" si="2"/>
        <v>17.34</v>
      </c>
      <c r="AD9">
        <f t="shared" si="2"/>
        <v>17.64</v>
      </c>
      <c r="AE9">
        <f t="shared" si="2"/>
        <v>38.58</v>
      </c>
      <c r="AF9">
        <f t="shared" si="2"/>
        <v>22.62</v>
      </c>
      <c r="AG9">
        <f t="shared" si="2"/>
        <v>179.64000000000001</v>
      </c>
      <c r="AH9">
        <f t="shared" si="2"/>
        <v>0</v>
      </c>
      <c r="AI9">
        <f t="shared" si="2"/>
        <v>0</v>
      </c>
      <c r="AJ9">
        <f t="shared" si="2"/>
        <v>0</v>
      </c>
      <c r="AK9">
        <f t="shared" si="2"/>
        <v>50.88</v>
      </c>
      <c r="AL9">
        <f t="shared" si="2"/>
        <v>72.78</v>
      </c>
      <c r="AM9">
        <f t="shared" si="2"/>
        <v>103.19999999999999</v>
      </c>
      <c r="AN9">
        <f t="shared" si="2"/>
        <v>26.46</v>
      </c>
      <c r="AO9">
        <f t="shared" si="2"/>
        <v>103.92</v>
      </c>
      <c r="AP9">
        <f t="shared" si="2"/>
        <v>41.88</v>
      </c>
      <c r="AQ9">
        <f t="shared" si="2"/>
        <v>20.400000000000002</v>
      </c>
      <c r="AR9">
        <f t="shared" si="2"/>
        <v>16.799999999999997</v>
      </c>
      <c r="AS9">
        <f t="shared" si="2"/>
        <v>104.39999999999999</v>
      </c>
      <c r="AT9">
        <f t="shared" si="2"/>
        <v>41.88</v>
      </c>
      <c r="AU9">
        <f t="shared" si="2"/>
        <v>103.26</v>
      </c>
      <c r="AV9">
        <f t="shared" si="2"/>
        <v>26.46</v>
      </c>
      <c r="AW9">
        <f t="shared" si="2"/>
        <v>72</v>
      </c>
      <c r="AX9">
        <f t="shared" si="2"/>
        <v>53.279999999999994</v>
      </c>
      <c r="AY9">
        <f t="shared" si="2"/>
        <v>55.30799999999999</v>
      </c>
      <c r="AZ9">
        <f t="shared" si="2"/>
        <v>97.02000000000001</v>
      </c>
      <c r="BA9">
        <f t="shared" si="2"/>
        <v>42.24000000000001</v>
      </c>
      <c r="BB9">
        <f t="shared" si="2"/>
        <v>55.30799999999999</v>
      </c>
      <c r="BC9">
        <f t="shared" si="2"/>
        <v>27.54</v>
      </c>
      <c r="BD9">
        <f t="shared" si="2"/>
        <v>181.86</v>
      </c>
      <c r="BE9" s="48">
        <f aca="true" t="shared" si="3" ref="BE9:BE17">SUM(C9:BD9)</f>
        <v>2916.7890143540676</v>
      </c>
    </row>
    <row r="10" spans="2:57" ht="12.75">
      <c r="B10" t="s">
        <v>74</v>
      </c>
      <c r="J10">
        <f>J6*2.6</f>
        <v>21.839999999999996</v>
      </c>
      <c r="U10">
        <f>U6*2.6</f>
        <v>43.67999999999999</v>
      </c>
      <c r="V10">
        <f>V6*2.6</f>
        <v>46.175999999999995</v>
      </c>
      <c r="W10">
        <f>W6*2.6</f>
        <v>58.239999999999995</v>
      </c>
      <c r="AA10">
        <f>AA6*2.6</f>
        <v>47.57999999999999</v>
      </c>
      <c r="AB10">
        <f>AB6*2.6</f>
        <v>35.568</v>
      </c>
      <c r="AC10">
        <f>AC6*2.6</f>
        <v>15.028</v>
      </c>
      <c r="AG10">
        <f>AG6*2.6</f>
        <v>155.68800000000002</v>
      </c>
      <c r="AH10">
        <f>AH6*2.6</f>
        <v>0</v>
      </c>
      <c r="AI10">
        <f>AI6*2.6</f>
        <v>0</v>
      </c>
      <c r="AV10">
        <f>AV6*2.6</f>
        <v>22.932000000000002</v>
      </c>
      <c r="AW10">
        <f>AW6*2.6</f>
        <v>62.400000000000006</v>
      </c>
      <c r="AX10">
        <f>AX6*2.6</f>
        <v>46.175999999999995</v>
      </c>
      <c r="AZ10">
        <f>AZ6*2.6</f>
        <v>84.08400000000002</v>
      </c>
      <c r="BA10">
        <f>BA6*2.6</f>
        <v>36.608000000000004</v>
      </c>
      <c r="BB10">
        <f>BB6*2.6</f>
        <v>43.57599999999999</v>
      </c>
      <c r="BE10" s="48">
        <f t="shared" si="3"/>
        <v>719.576</v>
      </c>
    </row>
    <row r="11" spans="2:57" ht="12.75">
      <c r="B11" t="s">
        <v>75</v>
      </c>
      <c r="C11">
        <f aca="true" t="shared" si="4" ref="C11:H11">C9</f>
        <v>51</v>
      </c>
      <c r="D11">
        <f t="shared" si="4"/>
        <v>97.5</v>
      </c>
      <c r="E11">
        <f t="shared" si="4"/>
        <v>55.199999999999996</v>
      </c>
      <c r="F11">
        <f t="shared" si="4"/>
        <v>20.4</v>
      </c>
      <c r="G11">
        <f t="shared" si="4"/>
        <v>21.599999999999998</v>
      </c>
      <c r="H11">
        <f t="shared" si="4"/>
        <v>102.89999999999999</v>
      </c>
      <c r="I11">
        <f>I9</f>
        <v>48.300000000000004</v>
      </c>
      <c r="J11">
        <f aca="true" t="shared" si="5" ref="J11:BD11">J9</f>
        <v>25.199999999999996</v>
      </c>
      <c r="K11">
        <f t="shared" si="5"/>
        <v>67.19999999999999</v>
      </c>
      <c r="L11">
        <f t="shared" si="5"/>
        <v>51</v>
      </c>
      <c r="M11">
        <f t="shared" si="5"/>
        <v>55.43999999999999</v>
      </c>
      <c r="N11">
        <f t="shared" si="5"/>
        <v>90.1</v>
      </c>
      <c r="O11">
        <f t="shared" si="5"/>
        <v>63.89999999999999</v>
      </c>
      <c r="P11">
        <f t="shared" si="5"/>
        <v>14.399999999999999</v>
      </c>
      <c r="Q11">
        <f t="shared" si="5"/>
        <v>23.29090909090909</v>
      </c>
      <c r="R11">
        <f t="shared" si="5"/>
        <v>29.142105263157898</v>
      </c>
      <c r="S11">
        <f t="shared" si="5"/>
        <v>39.839999999999996</v>
      </c>
      <c r="T11">
        <f t="shared" si="5"/>
        <v>40.019999999999996</v>
      </c>
      <c r="U11">
        <f t="shared" si="5"/>
        <v>55.43999999999999</v>
      </c>
      <c r="V11">
        <f t="shared" si="5"/>
        <v>53.279999999999994</v>
      </c>
      <c r="W11">
        <f t="shared" si="5"/>
        <v>67.19999999999999</v>
      </c>
      <c r="X11">
        <f t="shared" si="5"/>
        <v>48.300000000000004</v>
      </c>
      <c r="Y11">
        <f t="shared" si="5"/>
        <v>24.299999999999997</v>
      </c>
      <c r="Z11">
        <f t="shared" si="5"/>
        <v>103.19999999999999</v>
      </c>
      <c r="AA11">
        <f t="shared" si="5"/>
        <v>54.89999999999999</v>
      </c>
      <c r="AB11">
        <f t="shared" si="5"/>
        <v>41.04</v>
      </c>
      <c r="AC11">
        <f t="shared" si="5"/>
        <v>17.34</v>
      </c>
      <c r="AD11">
        <f t="shared" si="5"/>
        <v>17.64</v>
      </c>
      <c r="AE11">
        <f t="shared" si="5"/>
        <v>38.58</v>
      </c>
      <c r="AF11">
        <f t="shared" si="5"/>
        <v>22.62</v>
      </c>
      <c r="AG11">
        <f t="shared" si="5"/>
        <v>179.64000000000001</v>
      </c>
      <c r="AH11">
        <f t="shared" si="5"/>
        <v>0</v>
      </c>
      <c r="AI11">
        <f t="shared" si="5"/>
        <v>0</v>
      </c>
      <c r="AJ11">
        <f t="shared" si="5"/>
        <v>0</v>
      </c>
      <c r="AK11">
        <f t="shared" si="5"/>
        <v>50.88</v>
      </c>
      <c r="AL11">
        <f t="shared" si="5"/>
        <v>72.78</v>
      </c>
      <c r="AM11">
        <f t="shared" si="5"/>
        <v>103.19999999999999</v>
      </c>
      <c r="AN11">
        <f t="shared" si="5"/>
        <v>26.46</v>
      </c>
      <c r="AO11">
        <f t="shared" si="5"/>
        <v>103.92</v>
      </c>
      <c r="AP11">
        <f t="shared" si="5"/>
        <v>41.88</v>
      </c>
      <c r="AQ11">
        <f t="shared" si="5"/>
        <v>20.400000000000002</v>
      </c>
      <c r="AR11">
        <f t="shared" si="5"/>
        <v>16.799999999999997</v>
      </c>
      <c r="AS11">
        <f t="shared" si="5"/>
        <v>104.39999999999999</v>
      </c>
      <c r="AT11">
        <f t="shared" si="5"/>
        <v>41.88</v>
      </c>
      <c r="AU11">
        <f t="shared" si="5"/>
        <v>103.26</v>
      </c>
      <c r="AV11">
        <f t="shared" si="5"/>
        <v>26.46</v>
      </c>
      <c r="AW11">
        <f t="shared" si="5"/>
        <v>72</v>
      </c>
      <c r="AX11">
        <f t="shared" si="5"/>
        <v>53.279999999999994</v>
      </c>
      <c r="AY11">
        <f t="shared" si="5"/>
        <v>55.30799999999999</v>
      </c>
      <c r="AZ11">
        <f t="shared" si="5"/>
        <v>97.02000000000001</v>
      </c>
      <c r="BA11">
        <f t="shared" si="5"/>
        <v>42.24000000000001</v>
      </c>
      <c r="BB11">
        <f t="shared" si="5"/>
        <v>55.30799999999999</v>
      </c>
      <c r="BC11">
        <f t="shared" si="5"/>
        <v>27.54</v>
      </c>
      <c r="BD11">
        <f t="shared" si="5"/>
        <v>181.86</v>
      </c>
      <c r="BE11" s="48">
        <f t="shared" si="3"/>
        <v>2916.7890143540676</v>
      </c>
    </row>
    <row r="12" spans="2:57" ht="12.75">
      <c r="B12" t="s">
        <v>76</v>
      </c>
      <c r="C12">
        <f aca="true" t="shared" si="6" ref="C12:H12">C11-C10</f>
        <v>51</v>
      </c>
      <c r="D12">
        <f t="shared" si="6"/>
        <v>97.5</v>
      </c>
      <c r="E12">
        <f t="shared" si="6"/>
        <v>55.199999999999996</v>
      </c>
      <c r="F12">
        <f t="shared" si="6"/>
        <v>20.4</v>
      </c>
      <c r="G12">
        <f t="shared" si="6"/>
        <v>21.599999999999998</v>
      </c>
      <c r="H12">
        <f t="shared" si="6"/>
        <v>102.89999999999999</v>
      </c>
      <c r="I12">
        <f>I11-I10</f>
        <v>48.300000000000004</v>
      </c>
      <c r="J12">
        <f aca="true" t="shared" si="7" ref="J12:BD12">J11-J10</f>
        <v>3.3599999999999994</v>
      </c>
      <c r="K12">
        <f t="shared" si="7"/>
        <v>67.19999999999999</v>
      </c>
      <c r="L12">
        <f t="shared" si="7"/>
        <v>51</v>
      </c>
      <c r="M12">
        <f t="shared" si="7"/>
        <v>55.43999999999999</v>
      </c>
      <c r="N12">
        <f t="shared" si="7"/>
        <v>90.1</v>
      </c>
      <c r="O12">
        <f t="shared" si="7"/>
        <v>63.89999999999999</v>
      </c>
      <c r="P12">
        <f t="shared" si="7"/>
        <v>14.399999999999999</v>
      </c>
      <c r="Q12">
        <f t="shared" si="7"/>
        <v>23.29090909090909</v>
      </c>
      <c r="R12">
        <f t="shared" si="7"/>
        <v>29.142105263157898</v>
      </c>
      <c r="S12">
        <f t="shared" si="7"/>
        <v>39.839999999999996</v>
      </c>
      <c r="T12">
        <f t="shared" si="7"/>
        <v>40.019999999999996</v>
      </c>
      <c r="U12">
        <f t="shared" si="7"/>
        <v>11.759999999999998</v>
      </c>
      <c r="V12">
        <f t="shared" si="7"/>
        <v>7.103999999999999</v>
      </c>
      <c r="W12">
        <f t="shared" si="7"/>
        <v>8.959999999999994</v>
      </c>
      <c r="X12">
        <f t="shared" si="7"/>
        <v>48.300000000000004</v>
      </c>
      <c r="Y12">
        <f t="shared" si="7"/>
        <v>24.299999999999997</v>
      </c>
      <c r="Z12">
        <f t="shared" si="7"/>
        <v>103.19999999999999</v>
      </c>
      <c r="AA12">
        <f t="shared" si="7"/>
        <v>7.32</v>
      </c>
      <c r="AB12">
        <f t="shared" si="7"/>
        <v>5.472000000000001</v>
      </c>
      <c r="AC12">
        <f t="shared" si="7"/>
        <v>2.3119999999999994</v>
      </c>
      <c r="AD12">
        <f t="shared" si="7"/>
        <v>17.64</v>
      </c>
      <c r="AE12">
        <f t="shared" si="7"/>
        <v>38.58</v>
      </c>
      <c r="AF12">
        <f t="shared" si="7"/>
        <v>22.62</v>
      </c>
      <c r="AG12">
        <f t="shared" si="7"/>
        <v>23.951999999999998</v>
      </c>
      <c r="AH12">
        <f t="shared" si="7"/>
        <v>0</v>
      </c>
      <c r="AI12">
        <f t="shared" si="7"/>
        <v>0</v>
      </c>
      <c r="AJ12">
        <f t="shared" si="7"/>
        <v>0</v>
      </c>
      <c r="AK12">
        <f t="shared" si="7"/>
        <v>50.88</v>
      </c>
      <c r="AL12">
        <f t="shared" si="7"/>
        <v>72.78</v>
      </c>
      <c r="AM12">
        <f t="shared" si="7"/>
        <v>103.19999999999999</v>
      </c>
      <c r="AN12">
        <f t="shared" si="7"/>
        <v>26.46</v>
      </c>
      <c r="AO12">
        <f t="shared" si="7"/>
        <v>103.92</v>
      </c>
      <c r="AP12">
        <f t="shared" si="7"/>
        <v>41.88</v>
      </c>
      <c r="AQ12">
        <f t="shared" si="7"/>
        <v>20.400000000000002</v>
      </c>
      <c r="AR12">
        <f t="shared" si="7"/>
        <v>16.799999999999997</v>
      </c>
      <c r="AS12">
        <f t="shared" si="7"/>
        <v>104.39999999999999</v>
      </c>
      <c r="AT12">
        <f t="shared" si="7"/>
        <v>41.88</v>
      </c>
      <c r="AU12">
        <f t="shared" si="7"/>
        <v>103.26</v>
      </c>
      <c r="AV12">
        <f t="shared" si="7"/>
        <v>3.5279999999999987</v>
      </c>
      <c r="AW12">
        <f t="shared" si="7"/>
        <v>9.599999999999994</v>
      </c>
      <c r="AX12">
        <f t="shared" si="7"/>
        <v>7.103999999999999</v>
      </c>
      <c r="AY12">
        <f t="shared" si="7"/>
        <v>55.30799999999999</v>
      </c>
      <c r="AZ12">
        <f t="shared" si="7"/>
        <v>12.935999999999993</v>
      </c>
      <c r="BA12">
        <f t="shared" si="7"/>
        <v>5.632000000000005</v>
      </c>
      <c r="BB12">
        <f t="shared" si="7"/>
        <v>11.732</v>
      </c>
      <c r="BC12">
        <f t="shared" si="7"/>
        <v>27.54</v>
      </c>
      <c r="BD12">
        <f t="shared" si="7"/>
        <v>181.86</v>
      </c>
      <c r="BE12" s="48">
        <f t="shared" si="3"/>
        <v>2197.213014354067</v>
      </c>
    </row>
    <row r="13" spans="2:57" ht="12.75">
      <c r="B13" t="s">
        <v>77</v>
      </c>
      <c r="C13">
        <f aca="true" t="shared" si="8" ref="C13:BD13">C7</f>
        <v>16.24</v>
      </c>
      <c r="D13">
        <f t="shared" si="8"/>
        <v>59.125</v>
      </c>
      <c r="E13">
        <f t="shared" si="8"/>
        <v>12.96</v>
      </c>
      <c r="F13">
        <f t="shared" si="8"/>
        <v>2.8</v>
      </c>
      <c r="G13">
        <f t="shared" si="8"/>
        <v>3.23</v>
      </c>
      <c r="H13">
        <f t="shared" si="8"/>
        <v>47.53</v>
      </c>
      <c r="I13">
        <f t="shared" si="8"/>
        <v>11.78</v>
      </c>
      <c r="J13">
        <f t="shared" si="8"/>
        <v>3.9199999999999995</v>
      </c>
      <c r="K13">
        <f t="shared" si="8"/>
        <v>31.359999999999996</v>
      </c>
      <c r="L13">
        <f t="shared" si="8"/>
        <v>16.24</v>
      </c>
      <c r="M13">
        <f t="shared" si="8"/>
        <v>15.679999999999998</v>
      </c>
      <c r="N13">
        <f t="shared" si="8"/>
        <v>18.45</v>
      </c>
      <c r="O13">
        <f t="shared" si="8"/>
        <v>21.96</v>
      </c>
      <c r="P13">
        <f t="shared" si="8"/>
        <v>1.44</v>
      </c>
      <c r="Q13">
        <f t="shared" si="8"/>
        <v>3.06</v>
      </c>
      <c r="R13">
        <f t="shared" si="8"/>
        <v>5.720000000000001</v>
      </c>
      <c r="S13">
        <f t="shared" si="8"/>
        <v>10.414</v>
      </c>
      <c r="T13">
        <f t="shared" si="8"/>
        <v>10.536999999999999</v>
      </c>
      <c r="U13">
        <f t="shared" si="8"/>
        <v>15.679999999999998</v>
      </c>
      <c r="V13">
        <f t="shared" si="8"/>
        <v>18.368</v>
      </c>
      <c r="W13">
        <f t="shared" si="8"/>
        <v>31.359999999999996</v>
      </c>
      <c r="X13">
        <f t="shared" si="8"/>
        <v>11.78</v>
      </c>
      <c r="Y13">
        <f t="shared" si="8"/>
        <v>3.7099999999999995</v>
      </c>
      <c r="Z13">
        <f t="shared" si="8"/>
        <v>47.55</v>
      </c>
      <c r="AA13">
        <f t="shared" si="8"/>
        <v>19.8</v>
      </c>
      <c r="AB13">
        <f t="shared" si="8"/>
        <v>11.27</v>
      </c>
      <c r="AC13">
        <f t="shared" si="8"/>
        <v>1.33</v>
      </c>
      <c r="AD13">
        <f t="shared" si="8"/>
        <v>2.15</v>
      </c>
      <c r="AE13">
        <f t="shared" si="8"/>
        <v>9.61</v>
      </c>
      <c r="AF13">
        <f t="shared" si="8"/>
        <v>3.32</v>
      </c>
      <c r="AG13">
        <f t="shared" si="8"/>
        <v>79</v>
      </c>
      <c r="AH13">
        <f t="shared" si="8"/>
        <v>3.97</v>
      </c>
      <c r="AI13">
        <f t="shared" si="8"/>
        <v>4.65</v>
      </c>
      <c r="AJ13">
        <f t="shared" si="8"/>
        <v>4.41</v>
      </c>
      <c r="AK13">
        <f t="shared" si="8"/>
        <v>16.13</v>
      </c>
      <c r="AL13">
        <f t="shared" si="8"/>
        <v>37.2</v>
      </c>
      <c r="AM13">
        <f t="shared" si="8"/>
        <v>59.45</v>
      </c>
      <c r="AN13">
        <f t="shared" si="8"/>
        <v>4.82</v>
      </c>
      <c r="AO13">
        <f t="shared" si="8"/>
        <v>52.5</v>
      </c>
      <c r="AP13">
        <f t="shared" si="8"/>
        <v>12</v>
      </c>
      <c r="AQ13">
        <f t="shared" si="8"/>
        <v>2.88</v>
      </c>
      <c r="AR13">
        <f t="shared" si="8"/>
        <v>1.92</v>
      </c>
      <c r="AS13">
        <f t="shared" si="8"/>
        <v>52.8</v>
      </c>
      <c r="AT13">
        <f t="shared" si="8"/>
        <v>12</v>
      </c>
      <c r="AU13">
        <f t="shared" si="8"/>
        <v>59.5</v>
      </c>
      <c r="AV13">
        <f t="shared" si="8"/>
        <v>4.82</v>
      </c>
      <c r="AW13">
        <f t="shared" si="8"/>
        <v>37.6</v>
      </c>
      <c r="AX13">
        <f t="shared" si="8"/>
        <v>18.37</v>
      </c>
      <c r="AY13">
        <f t="shared" si="8"/>
        <v>15.55</v>
      </c>
      <c r="AZ13">
        <f t="shared" si="8"/>
        <v>59.21</v>
      </c>
      <c r="BA13">
        <f t="shared" si="8"/>
        <v>10.83</v>
      </c>
      <c r="BB13">
        <f t="shared" si="8"/>
        <v>15.44</v>
      </c>
      <c r="BC13">
        <f t="shared" si="8"/>
        <v>4.28</v>
      </c>
      <c r="BD13">
        <f t="shared" si="8"/>
        <v>89.43</v>
      </c>
      <c r="BE13" s="48">
        <f t="shared" si="3"/>
        <v>1127.134</v>
      </c>
    </row>
    <row r="14" spans="2:57" ht="12.75">
      <c r="B14" t="s">
        <v>78</v>
      </c>
      <c r="BE14" s="48">
        <f t="shared" si="3"/>
        <v>0</v>
      </c>
    </row>
    <row r="15" spans="2:57" ht="12.75">
      <c r="B15" t="s">
        <v>79</v>
      </c>
      <c r="C15">
        <f>C7</f>
        <v>16.24</v>
      </c>
      <c r="D15">
        <f>D7</f>
        <v>59.125</v>
      </c>
      <c r="H15">
        <f>H7</f>
        <v>47.53</v>
      </c>
      <c r="K15">
        <f>K7</f>
        <v>31.359999999999996</v>
      </c>
      <c r="L15">
        <f>L7</f>
        <v>16.24</v>
      </c>
      <c r="T15">
        <f>T7</f>
        <v>10.536999999999999</v>
      </c>
      <c r="V15">
        <f>V7</f>
        <v>18.368</v>
      </c>
      <c r="W15">
        <f>W7</f>
        <v>31.359999999999996</v>
      </c>
      <c r="Z15">
        <f>Z7</f>
        <v>47.55</v>
      </c>
      <c r="AA15">
        <f>AA7</f>
        <v>19.8</v>
      </c>
      <c r="AE15">
        <f>AE7</f>
        <v>9.61</v>
      </c>
      <c r="AK15">
        <f>AK7</f>
        <v>16.13</v>
      </c>
      <c r="AM15">
        <f>AM7</f>
        <v>59.45</v>
      </c>
      <c r="AO15">
        <f>AO7</f>
        <v>52.5</v>
      </c>
      <c r="AS15">
        <f>AS7</f>
        <v>52.8</v>
      </c>
      <c r="AU15">
        <f>AU7</f>
        <v>59.5</v>
      </c>
      <c r="AX15">
        <f>AX7</f>
        <v>18.37</v>
      </c>
      <c r="AZ15">
        <f>AZ7</f>
        <v>59.21</v>
      </c>
      <c r="BE15" s="48">
        <f t="shared" si="3"/>
        <v>625.6800000000001</v>
      </c>
    </row>
    <row r="16" spans="2:57" ht="12.75">
      <c r="B16" t="s">
        <v>329</v>
      </c>
      <c r="E16">
        <f>E6*1.8</f>
        <v>33.12</v>
      </c>
      <c r="F16">
        <f>F6*1.8</f>
        <v>12.24</v>
      </c>
      <c r="G16">
        <f>G6*1.8</f>
        <v>12.959999999999999</v>
      </c>
      <c r="I16">
        <f>I6*1.8</f>
        <v>28.980000000000004</v>
      </c>
      <c r="J16">
        <f>J6*1.8</f>
        <v>15.119999999999997</v>
      </c>
      <c r="O16">
        <f>O6*1.8</f>
        <v>38.339999999999996</v>
      </c>
      <c r="R16">
        <f>R6*1.8</f>
        <v>17.48526315789474</v>
      </c>
      <c r="X16">
        <f>X6*1.8</f>
        <v>28.980000000000004</v>
      </c>
      <c r="Y16">
        <f>Y6*1.8</f>
        <v>14.58</v>
      </c>
      <c r="AF16">
        <f>AF6*1.8</f>
        <v>13.572000000000001</v>
      </c>
      <c r="AH16">
        <f>AH6*1.8</f>
        <v>0</v>
      </c>
      <c r="AI16">
        <f>AI6*1.8</f>
        <v>0</v>
      </c>
      <c r="AJ16">
        <f>AJ6*1.8</f>
        <v>0</v>
      </c>
      <c r="AN16">
        <f>AN6*1.8</f>
        <v>15.876000000000001</v>
      </c>
      <c r="AP16">
        <f>AP6*1.8</f>
        <v>25.128000000000004</v>
      </c>
      <c r="AQ16">
        <f>AQ6*1.8</f>
        <v>12.240000000000002</v>
      </c>
      <c r="AT16">
        <f>AT6*1.8</f>
        <v>25.128000000000004</v>
      </c>
      <c r="AV16">
        <f>AV6*1.8</f>
        <v>15.876000000000001</v>
      </c>
      <c r="BA16">
        <f>BA6*1.8</f>
        <v>25.344000000000005</v>
      </c>
      <c r="BE16" s="48">
        <f t="shared" si="3"/>
        <v>334.9692631578947</v>
      </c>
    </row>
    <row r="17" spans="2:57" ht="12.75">
      <c r="B17" t="s">
        <v>80</v>
      </c>
      <c r="BE17" s="48">
        <f t="shared" si="3"/>
        <v>0</v>
      </c>
    </row>
    <row r="18" spans="2:57" ht="12.75">
      <c r="B18" t="s">
        <v>81</v>
      </c>
      <c r="BE18">
        <f>42*2+18*2+6+4</f>
        <v>130</v>
      </c>
    </row>
    <row r="19" spans="2:57" ht="12.75">
      <c r="B19" t="s">
        <v>82</v>
      </c>
      <c r="BE19">
        <f>40*2+18*2+6</f>
        <v>122</v>
      </c>
    </row>
    <row r="20" spans="2:57" ht="12.75">
      <c r="B20" t="s">
        <v>83</v>
      </c>
      <c r="BE20">
        <v>12</v>
      </c>
    </row>
    <row r="21" spans="2:57" ht="12.75">
      <c r="B21" t="s">
        <v>84</v>
      </c>
      <c r="BE21">
        <f>60+8+12</f>
        <v>80</v>
      </c>
    </row>
    <row r="22" spans="2:57" ht="12.75">
      <c r="B22" t="s">
        <v>85</v>
      </c>
      <c r="BE22">
        <v>80</v>
      </c>
    </row>
    <row r="23" spans="2:57" ht="12.75">
      <c r="B23" t="s">
        <v>86</v>
      </c>
      <c r="BE23">
        <v>10</v>
      </c>
    </row>
    <row r="24" spans="2:57" ht="12.75">
      <c r="B24" t="s">
        <v>87</v>
      </c>
      <c r="BE24">
        <f>54+20*2</f>
        <v>94</v>
      </c>
    </row>
    <row r="25" spans="2:57" ht="12.75">
      <c r="B25" t="s">
        <v>88</v>
      </c>
      <c r="BE25">
        <f>(25+29)*2</f>
        <v>108</v>
      </c>
    </row>
    <row r="26" spans="2:57" ht="12.75">
      <c r="B26" t="s">
        <v>89</v>
      </c>
      <c r="BE26">
        <v>5</v>
      </c>
    </row>
    <row r="27" spans="2:57" ht="12.75">
      <c r="B27" t="s">
        <v>90</v>
      </c>
      <c r="BE27">
        <v>26</v>
      </c>
    </row>
    <row r="28" spans="2:57" ht="12.75">
      <c r="B28" t="s">
        <v>91</v>
      </c>
      <c r="BE28">
        <v>17</v>
      </c>
    </row>
    <row r="29" spans="2:57" ht="12.75">
      <c r="B29" t="s">
        <v>92</v>
      </c>
      <c r="BE29">
        <v>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E61"/>
  <sheetViews>
    <sheetView zoomScalePageLayoutView="0" workbookViewId="0" topLeftCell="A10">
      <selection activeCell="N31" sqref="N31"/>
    </sheetView>
  </sheetViews>
  <sheetFormatPr defaultColWidth="9.140625" defaultRowHeight="12.75"/>
  <cols>
    <col min="2" max="2" width="4.7109375" style="0" customWidth="1"/>
    <col min="3" max="3" width="16.8515625" style="0" bestFit="1" customWidth="1"/>
  </cols>
  <sheetData>
    <row r="2" spans="2:5" ht="12.75">
      <c r="B2" s="487" t="s">
        <v>133</v>
      </c>
      <c r="C2" s="487"/>
      <c r="D2" s="487"/>
      <c r="E2" s="487"/>
    </row>
    <row r="3" ht="5.25" customHeight="1"/>
    <row r="4" spans="2:5" ht="25.5">
      <c r="B4" s="49"/>
      <c r="C4" s="53" t="s">
        <v>132</v>
      </c>
      <c r="D4" s="52" t="s">
        <v>131</v>
      </c>
      <c r="E4" s="53" t="s">
        <v>130</v>
      </c>
    </row>
    <row r="5" spans="2:5" ht="12.75">
      <c r="B5" s="49">
        <v>1</v>
      </c>
      <c r="C5" s="49" t="s">
        <v>135</v>
      </c>
      <c r="D5" s="49">
        <f>26.94+2.6+26.94</f>
        <v>56.480000000000004</v>
      </c>
      <c r="E5" s="49">
        <v>80.27</v>
      </c>
    </row>
    <row r="6" spans="2:5" ht="12.75">
      <c r="B6" s="49">
        <v>2</v>
      </c>
      <c r="C6" s="49" t="s">
        <v>114</v>
      </c>
      <c r="D6" s="50">
        <f>(2.78+4.13)*2</f>
        <v>13.82</v>
      </c>
      <c r="E6" s="49">
        <v>11.27</v>
      </c>
    </row>
    <row r="7" spans="2:5" ht="12.75">
      <c r="B7" s="49">
        <v>3</v>
      </c>
      <c r="C7" s="49" t="s">
        <v>115</v>
      </c>
      <c r="D7" s="50">
        <f>(3.53+5.6)*2</f>
        <v>18.259999999999998</v>
      </c>
      <c r="E7" s="49">
        <v>19.78</v>
      </c>
    </row>
    <row r="8" spans="2:5" ht="12.75">
      <c r="B8" s="49">
        <v>4</v>
      </c>
      <c r="C8" s="49" t="s">
        <v>116</v>
      </c>
      <c r="D8" s="50">
        <f>(2.37+4.13)*2</f>
        <v>13</v>
      </c>
      <c r="E8" s="49">
        <v>9.6</v>
      </c>
    </row>
    <row r="9" spans="2:5" ht="12.75">
      <c r="B9" s="49">
        <v>5</v>
      </c>
      <c r="C9" s="49" t="s">
        <v>114</v>
      </c>
      <c r="D9" s="50">
        <f>(1.55+1.39)*2</f>
        <v>5.88</v>
      </c>
      <c r="E9" s="49">
        <v>1.5</v>
      </c>
    </row>
    <row r="10" spans="2:5" ht="12.75">
      <c r="B10" s="49">
        <v>6</v>
      </c>
      <c r="C10" s="49" t="s">
        <v>117</v>
      </c>
      <c r="D10" s="50">
        <f>(2.55+1.39)*2</f>
        <v>7.879999999999999</v>
      </c>
      <c r="E10" s="49">
        <v>2.16</v>
      </c>
    </row>
    <row r="11" spans="2:5" ht="12.75">
      <c r="B11" s="49">
        <v>7</v>
      </c>
      <c r="C11" s="49" t="s">
        <v>141</v>
      </c>
      <c r="D11" s="50">
        <f>(1+1.39)*2</f>
        <v>4.779999999999999</v>
      </c>
      <c r="E11" s="49">
        <v>3.32</v>
      </c>
    </row>
    <row r="12" spans="2:5" ht="12.75">
      <c r="B12" s="49">
        <v>8</v>
      </c>
      <c r="C12" s="49" t="s">
        <v>114</v>
      </c>
      <c r="D12" s="50">
        <f>(13.62+1.44)*2</f>
        <v>30.119999999999997</v>
      </c>
      <c r="E12" s="49">
        <v>18.51</v>
      </c>
    </row>
    <row r="13" spans="2:5" ht="12.75">
      <c r="B13" s="49">
        <v>9</v>
      </c>
      <c r="C13" s="49" t="s">
        <v>117</v>
      </c>
      <c r="D13" s="50">
        <f>(2.9+5.6)*2</f>
        <v>17</v>
      </c>
      <c r="E13" s="49">
        <v>16.26</v>
      </c>
    </row>
    <row r="14" spans="2:5" ht="12.75">
      <c r="B14" s="49">
        <v>10</v>
      </c>
      <c r="C14" s="49" t="s">
        <v>118</v>
      </c>
      <c r="D14" s="50">
        <f>(11.1+5.6)*2</f>
        <v>33.4</v>
      </c>
      <c r="E14" s="49">
        <v>62.16</v>
      </c>
    </row>
    <row r="15" spans="2:5" ht="12.75">
      <c r="B15" s="49">
        <v>11</v>
      </c>
      <c r="C15" s="49" t="s">
        <v>120</v>
      </c>
      <c r="D15" s="50">
        <f>(2.1+1.95)*2</f>
        <v>8.1</v>
      </c>
      <c r="E15" s="49">
        <v>8.44</v>
      </c>
    </row>
    <row r="16" spans="2:5" ht="12.75">
      <c r="B16" s="49">
        <v>12</v>
      </c>
      <c r="C16" s="49" t="s">
        <v>119</v>
      </c>
      <c r="D16" s="50">
        <v>9.5</v>
      </c>
      <c r="E16" s="49">
        <v>4.6</v>
      </c>
    </row>
    <row r="17" spans="2:5" ht="12.75">
      <c r="B17" s="49">
        <v>13</v>
      </c>
      <c r="C17" s="49" t="s">
        <v>118</v>
      </c>
      <c r="D17" s="50">
        <f>(11.6+5.6)*2</f>
        <v>34.4</v>
      </c>
      <c r="E17" s="49">
        <v>50.6</v>
      </c>
    </row>
    <row r="18" spans="2:5" ht="12.75">
      <c r="B18" s="49">
        <v>14</v>
      </c>
      <c r="C18" s="49" t="s">
        <v>119</v>
      </c>
      <c r="D18" s="50">
        <v>5.8</v>
      </c>
      <c r="E18" s="49">
        <v>2.97</v>
      </c>
    </row>
    <row r="19" spans="2:5" ht="12.75">
      <c r="B19" s="49">
        <v>15</v>
      </c>
      <c r="C19" s="49" t="s">
        <v>120</v>
      </c>
      <c r="D19" s="50">
        <f>(3.27+4.12)*2</f>
        <v>14.780000000000001</v>
      </c>
      <c r="E19" s="49">
        <v>9.74</v>
      </c>
    </row>
    <row r="20" spans="2:5" ht="12.75">
      <c r="B20" s="49">
        <v>16</v>
      </c>
      <c r="C20" s="49" t="s">
        <v>121</v>
      </c>
      <c r="D20" s="50">
        <f>(5.6+5.6)*2</f>
        <v>22.4</v>
      </c>
      <c r="E20" s="49">
        <v>31.36</v>
      </c>
    </row>
    <row r="21" spans="2:5" ht="12.75">
      <c r="B21" s="49">
        <v>17</v>
      </c>
      <c r="C21" s="49" t="s">
        <v>122</v>
      </c>
      <c r="D21" s="50">
        <v>8</v>
      </c>
      <c r="E21" s="49">
        <v>3.85</v>
      </c>
    </row>
    <row r="22" spans="2:5" ht="12.75">
      <c r="B22" s="49">
        <v>18</v>
      </c>
      <c r="C22" s="49" t="s">
        <v>123</v>
      </c>
      <c r="D22" s="50">
        <f>(2.9+5.6)*2</f>
        <v>17</v>
      </c>
      <c r="E22" s="49">
        <v>16.2</v>
      </c>
    </row>
    <row r="23" spans="2:5" ht="12.75">
      <c r="B23" s="49">
        <v>19</v>
      </c>
      <c r="C23" s="49" t="s">
        <v>124</v>
      </c>
      <c r="D23" s="50">
        <f>(2.76+5.6)*2</f>
        <v>16.72</v>
      </c>
      <c r="E23" s="49">
        <v>15.4</v>
      </c>
    </row>
    <row r="24" spans="2:5" ht="12.75">
      <c r="B24" s="49">
        <v>20</v>
      </c>
      <c r="C24" s="49" t="s">
        <v>140</v>
      </c>
      <c r="D24" s="49">
        <v>3.8</v>
      </c>
      <c r="E24" s="49">
        <v>1</v>
      </c>
    </row>
    <row r="25" spans="2:5" ht="12.75">
      <c r="B25" s="49">
        <v>21</v>
      </c>
      <c r="C25" s="49" t="s">
        <v>125</v>
      </c>
      <c r="D25" s="50">
        <f>(6.12+4.1)*2</f>
        <v>20.439999999999998</v>
      </c>
      <c r="E25" s="49">
        <v>21.94</v>
      </c>
    </row>
    <row r="26" spans="2:5" ht="12.75">
      <c r="B26" s="49">
        <v>22</v>
      </c>
      <c r="C26" s="49" t="s">
        <v>114</v>
      </c>
      <c r="D26" s="50">
        <f>(1.2+1.2)*2</f>
        <v>4.8</v>
      </c>
      <c r="E26" s="49">
        <v>1.44</v>
      </c>
    </row>
    <row r="27" spans="2:5" ht="12.75">
      <c r="B27" s="49">
        <v>23</v>
      </c>
      <c r="C27" s="49" t="s">
        <v>114</v>
      </c>
      <c r="D27" s="50">
        <v>9.5</v>
      </c>
      <c r="E27" s="49">
        <v>3.06</v>
      </c>
    </row>
    <row r="28" spans="2:5" ht="12.75">
      <c r="B28" s="49">
        <v>24</v>
      </c>
      <c r="C28" s="49" t="s">
        <v>126</v>
      </c>
      <c r="D28" s="50">
        <f>(2+2.85)*2</f>
        <v>9.7</v>
      </c>
      <c r="E28" s="49">
        <v>5.72</v>
      </c>
    </row>
    <row r="29" spans="2:5" ht="12.75">
      <c r="B29" s="49">
        <v>25</v>
      </c>
      <c r="C29" s="49" t="s">
        <v>122</v>
      </c>
      <c r="D29" s="50">
        <v>8</v>
      </c>
      <c r="E29" s="49">
        <v>4.1</v>
      </c>
    </row>
    <row r="30" spans="2:5" ht="12.75">
      <c r="B30" s="49">
        <v>26</v>
      </c>
      <c r="C30" s="49" t="s">
        <v>126</v>
      </c>
      <c r="D30" s="50">
        <f>(2.54+4.1)*2</f>
        <v>13.28</v>
      </c>
      <c r="E30" s="49">
        <v>10.42</v>
      </c>
    </row>
    <row r="31" spans="2:5" ht="12.75">
      <c r="B31" s="49">
        <v>27</v>
      </c>
      <c r="C31" s="49" t="s">
        <v>127</v>
      </c>
      <c r="D31" s="50">
        <f>(2.57+4.1)*2</f>
        <v>13.34</v>
      </c>
      <c r="E31" s="49">
        <v>10.52</v>
      </c>
    </row>
    <row r="32" spans="2:5" ht="12.75">
      <c r="B32" s="49">
        <v>28</v>
      </c>
      <c r="C32" s="49" t="s">
        <v>124</v>
      </c>
      <c r="D32" s="50">
        <f>(2.78+5.6)*2</f>
        <v>16.759999999999998</v>
      </c>
      <c r="E32" s="49">
        <v>15.57</v>
      </c>
    </row>
    <row r="33" spans="2:5" ht="12.75">
      <c r="B33" s="49">
        <v>29</v>
      </c>
      <c r="C33" s="49" t="s">
        <v>123</v>
      </c>
      <c r="D33" s="50">
        <f>(3.28+5.6)*2</f>
        <v>17.759999999999998</v>
      </c>
      <c r="E33" s="49">
        <v>18.35</v>
      </c>
    </row>
    <row r="34" spans="2:5" ht="12.75">
      <c r="B34" s="49">
        <v>30</v>
      </c>
      <c r="C34" s="49" t="s">
        <v>122</v>
      </c>
      <c r="D34" s="50">
        <v>8</v>
      </c>
      <c r="E34" s="49">
        <v>4.3</v>
      </c>
    </row>
    <row r="35" spans="2:5" ht="12.75">
      <c r="B35" s="49">
        <v>31</v>
      </c>
      <c r="C35" s="49" t="s">
        <v>121</v>
      </c>
      <c r="D35" s="50">
        <f>(5.6+5.6)*2</f>
        <v>22.4</v>
      </c>
      <c r="E35" s="49">
        <v>31.36</v>
      </c>
    </row>
    <row r="36" spans="2:5" ht="12.75">
      <c r="B36" s="49">
        <v>32</v>
      </c>
      <c r="C36" s="49" t="s">
        <v>118</v>
      </c>
      <c r="D36" s="50">
        <f>(11.6+5.6)*2</f>
        <v>34.4</v>
      </c>
      <c r="E36" s="49">
        <v>50.26</v>
      </c>
    </row>
    <row r="37" spans="2:5" ht="12.75">
      <c r="B37" s="49">
        <v>33</v>
      </c>
      <c r="C37" s="49" t="s">
        <v>119</v>
      </c>
      <c r="D37" s="50">
        <v>6.8</v>
      </c>
      <c r="E37" s="49">
        <v>3.27</v>
      </c>
    </row>
    <row r="38" spans="2:5" ht="12.75">
      <c r="B38" s="49">
        <v>34</v>
      </c>
      <c r="C38" s="49" t="s">
        <v>120</v>
      </c>
      <c r="D38" s="50">
        <f>(3.35+4.35)*2</f>
        <v>15.399999999999999</v>
      </c>
      <c r="E38" s="49">
        <v>9.72</v>
      </c>
    </row>
    <row r="39" spans="2:5" ht="12.75">
      <c r="B39" s="49">
        <v>35</v>
      </c>
      <c r="C39" s="49" t="s">
        <v>128</v>
      </c>
      <c r="D39" s="50">
        <f>(2.78+5.6)*2</f>
        <v>16.759999999999998</v>
      </c>
      <c r="E39" s="49">
        <v>15.57</v>
      </c>
    </row>
    <row r="40" spans="2:5" ht="12.75">
      <c r="B40" s="49">
        <v>36</v>
      </c>
      <c r="C40" s="49" t="s">
        <v>123</v>
      </c>
      <c r="D40" s="50">
        <f>(3.28+5.6)*2</f>
        <v>17.759999999999998</v>
      </c>
      <c r="E40" s="49">
        <v>18.35</v>
      </c>
    </row>
    <row r="41" spans="2:5" ht="12.75">
      <c r="B41" s="49">
        <v>37</v>
      </c>
      <c r="C41" s="49" t="s">
        <v>121</v>
      </c>
      <c r="D41" s="50">
        <f>(5.6+5.6)*2</f>
        <v>22.4</v>
      </c>
      <c r="E41" s="49">
        <v>31.36</v>
      </c>
    </row>
    <row r="42" spans="2:5" ht="12.75">
      <c r="B42" s="49">
        <v>38</v>
      </c>
      <c r="C42" s="49" t="s">
        <v>118</v>
      </c>
      <c r="D42" s="50">
        <f>(11.6+5.6)*2</f>
        <v>34.4</v>
      </c>
      <c r="E42" s="49">
        <v>50.26</v>
      </c>
    </row>
    <row r="43" spans="2:5" ht="12.75">
      <c r="B43" s="49">
        <v>39</v>
      </c>
      <c r="C43" s="49" t="s">
        <v>119</v>
      </c>
      <c r="D43" s="50">
        <v>6.8</v>
      </c>
      <c r="E43" s="49">
        <v>3.28</v>
      </c>
    </row>
    <row r="44" spans="2:5" ht="12.75">
      <c r="B44" s="49">
        <v>40</v>
      </c>
      <c r="C44" s="49" t="s">
        <v>120</v>
      </c>
      <c r="D44" s="50">
        <v>18.2</v>
      </c>
      <c r="E44" s="49">
        <v>9.73</v>
      </c>
    </row>
    <row r="45" spans="2:5" ht="12.75">
      <c r="B45" s="49">
        <v>41</v>
      </c>
      <c r="C45" s="49" t="s">
        <v>121</v>
      </c>
      <c r="D45" s="50">
        <f>(8.98+5.6)*2</f>
        <v>29.16</v>
      </c>
      <c r="E45" s="49">
        <v>50.29</v>
      </c>
    </row>
    <row r="46" spans="2:5" ht="12.75">
      <c r="B46" s="49">
        <v>42</v>
      </c>
      <c r="C46" s="49" t="s">
        <v>114</v>
      </c>
      <c r="D46" s="50">
        <f>(3.3+1.39)*2</f>
        <v>9.379999999999999</v>
      </c>
      <c r="E46" s="49">
        <v>4.58</v>
      </c>
    </row>
    <row r="47" spans="2:5" ht="12.75">
      <c r="B47" s="49">
        <v>43</v>
      </c>
      <c r="C47" s="49" t="s">
        <v>120</v>
      </c>
      <c r="D47" s="50">
        <v>15.4</v>
      </c>
      <c r="E47" s="49">
        <v>8.99</v>
      </c>
    </row>
    <row r="48" spans="2:5" ht="12.75">
      <c r="B48" s="49">
        <v>44</v>
      </c>
      <c r="C48" s="49" t="s">
        <v>119</v>
      </c>
      <c r="D48" s="50">
        <v>8.6</v>
      </c>
      <c r="E48" s="49">
        <v>3.8</v>
      </c>
    </row>
    <row r="49" spans="2:5" ht="12.75">
      <c r="B49" s="49">
        <v>45</v>
      </c>
      <c r="C49" s="49" t="s">
        <v>118</v>
      </c>
      <c r="D49" s="50">
        <f>(10.7+5.6)*2</f>
        <v>32.599999999999994</v>
      </c>
      <c r="E49" s="49">
        <v>59.91</v>
      </c>
    </row>
    <row r="50" spans="2:5" ht="12.75">
      <c r="B50" s="49">
        <v>46</v>
      </c>
      <c r="C50" s="49" t="s">
        <v>119</v>
      </c>
      <c r="D50" s="50">
        <v>9.4</v>
      </c>
      <c r="E50" s="49">
        <v>4.57</v>
      </c>
    </row>
    <row r="51" spans="2:5" ht="12.75">
      <c r="B51" s="49">
        <v>47</v>
      </c>
      <c r="C51" s="49" t="s">
        <v>118</v>
      </c>
      <c r="D51" s="50">
        <f>(5.6+11.6)*2</f>
        <v>34.4</v>
      </c>
      <c r="E51" s="49">
        <v>64.96</v>
      </c>
    </row>
    <row r="52" spans="2:5" ht="12.75">
      <c r="B52" s="49">
        <v>48</v>
      </c>
      <c r="C52" s="49" t="s">
        <v>120</v>
      </c>
      <c r="D52" s="50">
        <v>10.6</v>
      </c>
      <c r="E52" s="49">
        <v>6.98</v>
      </c>
    </row>
    <row r="53" spans="2:5" ht="12.75">
      <c r="B53" s="49">
        <v>49</v>
      </c>
      <c r="C53" s="49" t="s">
        <v>121</v>
      </c>
      <c r="D53" s="50">
        <f>(5.6+5.6)*2</f>
        <v>22.4</v>
      </c>
      <c r="E53" s="49">
        <v>31.36</v>
      </c>
    </row>
    <row r="54" spans="2:5" ht="12.75">
      <c r="B54" s="49">
        <v>50</v>
      </c>
      <c r="C54" s="49" t="s">
        <v>123</v>
      </c>
      <c r="D54" s="50">
        <f>(2.88+5.6)*2</f>
        <v>16.96</v>
      </c>
      <c r="E54" s="49">
        <v>16.13</v>
      </c>
    </row>
    <row r="55" spans="2:5" ht="12.75">
      <c r="B55" s="49">
        <v>51</v>
      </c>
      <c r="C55" s="49" t="s">
        <v>141</v>
      </c>
      <c r="D55" s="50">
        <v>10.2</v>
      </c>
      <c r="E55" s="49">
        <v>5.77</v>
      </c>
    </row>
    <row r="56" spans="2:5" ht="12.75">
      <c r="B56" s="49">
        <v>52</v>
      </c>
      <c r="C56" s="49" t="s">
        <v>128</v>
      </c>
      <c r="D56" s="50">
        <f>(2.78+5.6)*2</f>
        <v>16.759999999999998</v>
      </c>
      <c r="E56" s="49">
        <v>15.56</v>
      </c>
    </row>
    <row r="57" spans="2:5" ht="12.75">
      <c r="B57" s="49">
        <v>53</v>
      </c>
      <c r="C57" s="49" t="s">
        <v>123</v>
      </c>
      <c r="D57" s="50">
        <f>(2.89+5.6)*2</f>
        <v>16.98</v>
      </c>
      <c r="E57" s="49">
        <v>16.2</v>
      </c>
    </row>
    <row r="58" spans="2:5" ht="12.75">
      <c r="B58" s="49">
        <v>54</v>
      </c>
      <c r="C58" s="49" t="s">
        <v>140</v>
      </c>
      <c r="D58" s="49">
        <v>3.8</v>
      </c>
      <c r="E58" s="49">
        <v>1</v>
      </c>
    </row>
    <row r="59" spans="2:5" ht="12.75">
      <c r="B59" s="49">
        <v>55</v>
      </c>
      <c r="C59" s="49" t="s">
        <v>129</v>
      </c>
      <c r="D59" s="50">
        <f>(10.57+5.6)*2</f>
        <v>32.34</v>
      </c>
      <c r="E59" s="49">
        <v>59.18</v>
      </c>
    </row>
    <row r="60" spans="2:5" ht="12.75">
      <c r="B60" s="49">
        <v>56</v>
      </c>
      <c r="C60" s="51" t="s">
        <v>135</v>
      </c>
      <c r="D60" s="49">
        <f>26.94+2.6+26.94</f>
        <v>56.480000000000004</v>
      </c>
      <c r="E60" s="49">
        <v>89.71</v>
      </c>
    </row>
    <row r="61" spans="2:5" ht="12.75">
      <c r="B61" s="49"/>
      <c r="C61" s="51" t="s">
        <v>134</v>
      </c>
      <c r="D61" s="49"/>
      <c r="E61" s="49">
        <f>SUM(E5:E60)</f>
        <v>1126.5600000000002</v>
      </c>
    </row>
  </sheetData>
  <sheetProtection/>
  <mergeCells count="1">
    <mergeCell ref="B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Kujt 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 arch</dc:creator>
  <cp:keywords/>
  <dc:description/>
  <cp:lastModifiedBy>Windows User</cp:lastModifiedBy>
  <cp:lastPrinted>2019-05-29T09:00:27Z</cp:lastPrinted>
  <dcterms:created xsi:type="dcterms:W3CDTF">2000-06-18T07:49:14Z</dcterms:created>
  <dcterms:modified xsi:type="dcterms:W3CDTF">2019-05-29T12:28:23Z</dcterms:modified>
  <cp:category/>
  <cp:version/>
  <cp:contentType/>
  <cp:contentStatus/>
</cp:coreProperties>
</file>